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enefits\Retirement\IRS - 403b, 415, etc\VIP Calculator\2025\"/>
    </mc:Choice>
  </mc:AlternateContent>
  <xr:revisionPtr revIDLastSave="0" documentId="13_ncr:1_{D8331512-2962-4B3E-8ABE-78B070D955A6}" xr6:coauthVersionLast="47" xr6:coauthVersionMax="47" xr10:uidLastSave="{00000000-0000-0000-0000-000000000000}"/>
  <bookViews>
    <workbookView xWindow="28680" yWindow="-120" windowWidth="29040" windowHeight="15720" firstSheet="27" activeTab="27" xr2:uid="{00000000-000D-0000-FFFF-FFFF00000000}"/>
  </bookViews>
  <sheets>
    <sheet name="Bandyopadhyay 11.25 &amp; 12.10." sheetId="984" state="hidden" r:id="rId1"/>
    <sheet name="Bender 11.25." sheetId="987" state="hidden" r:id="rId2"/>
    <sheet name="Bose, Susmita 11.25.1" sheetId="988" state="hidden" r:id="rId3"/>
    <sheet name="Ding, Jow 11.25." sheetId="990" state="hidden" r:id="rId4"/>
    <sheet name="Eilers - 11.10 Double check" sheetId="961" state="hidden" r:id="rId5"/>
    <sheet name="Eilers - full yr" sheetId="1071" state="hidden" r:id="rId6"/>
    <sheet name="Etheridge" sheetId="843" state="hidden" r:id="rId7"/>
    <sheet name="Flores1" sheetId="1045" state="hidden" r:id="rId8"/>
    <sheet name="Franklin (SK)" sheetId="1442" state="hidden" r:id="rId9"/>
    <sheet name="He 10.25" sheetId="874" state="hidden" r:id="rId10"/>
    <sheet name="Jordan, Michael" sheetId="907" state="hidden" r:id="rId11"/>
    <sheet name="Jordan, Michalel2" sheetId="1055" state="hidden" r:id="rId12"/>
    <sheet name="Manoranjan, V. 11.25." sheetId="969" state="hidden" r:id="rId13"/>
    <sheet name="Max of Salary ex." sheetId="826" state="hidden" r:id="rId14"/>
    <sheet name="Max of Salary ex.  (2)" sheetId="617" state="hidden" r:id="rId15"/>
    <sheet name="Max of Salary ex. 2" sheetId="11" state="hidden" r:id="rId16"/>
    <sheet name="Max of Salary ex. 2." sheetId="827" state="hidden" r:id="rId17"/>
    <sheet name="McClusky 11.25." sheetId="1005" state="hidden" r:id="rId18"/>
    <sheet name="McDonald (2)" sheetId="886" state="hidden" r:id="rId19"/>
    <sheet name="Netzhammer" sheetId="889" state="hidden" r:id="rId20"/>
    <sheet name="Other Green" sheetId="870" state="hidden" r:id="rId21"/>
    <sheet name="Sanders 12.10 (SK)" sheetId="1441" state="hidden" r:id="rId22"/>
    <sheet name="Schulz, N" sheetId="832" state="hidden" r:id="rId23"/>
    <sheet name="Smith, Lloyd 11.25." sheetId="974" state="hidden" r:id="rId24"/>
    <sheet name="Thomas" sheetId="1047" state="hidden" r:id="rId25"/>
    <sheet name="Wilkins-Fontenor 11.25.1" sheetId="980" state="hidden" r:id="rId26"/>
    <sheet name="Will not get 1.5% on 2020" sheetId="1" state="hidden" r:id="rId27"/>
    <sheet name="&gt;=50 Calc for DRS Plans" sheetId="1811" r:id="rId28"/>
  </sheets>
  <definedNames>
    <definedName name="Z_38B7F0AC_1968_4179_B248_6144E152B72B_.wvu.Cols" localSheetId="27" hidden="1">'&gt;=50 Calc for DRS Plans'!#REF!,'&gt;=50 Calc for DRS Plans'!$IQ:$IT,'&gt;=50 Calc for DRS Plans'!$SM:$SP,'&gt;=50 Calc for DRS Plans'!$ACI:$ACL,'&gt;=50 Calc for DRS Plans'!$AME:$AMH,'&gt;=50 Calc for DRS Plans'!$AWA:$AWD,'&gt;=50 Calc for DRS Plans'!$BFW:$BFZ,'&gt;=50 Calc for DRS Plans'!$BPS:$BPV,'&gt;=50 Calc for DRS Plans'!$BZO:$BZR,'&gt;=50 Calc for DRS Plans'!$CJK:$CJN,'&gt;=50 Calc for DRS Plans'!$CTG:$CTJ,'&gt;=50 Calc for DRS Plans'!$DDC:$DDF,'&gt;=50 Calc for DRS Plans'!$DMY:$DNB,'&gt;=50 Calc for DRS Plans'!$DWU:$DWX,'&gt;=50 Calc for DRS Plans'!$EGQ:$EGT,'&gt;=50 Calc for DRS Plans'!$EQM:$EQP,'&gt;=50 Calc for DRS Plans'!$FAI:$FAL,'&gt;=50 Calc for DRS Plans'!$FKE:$FKH,'&gt;=50 Calc for DRS Plans'!$FUA:$FUD,'&gt;=50 Calc for DRS Plans'!$GDW:$GDZ,'&gt;=50 Calc for DRS Plans'!$GNS:$GNV,'&gt;=50 Calc for DRS Plans'!$GXO:$GXR,'&gt;=50 Calc for DRS Plans'!$HHK:$HHN,'&gt;=50 Calc for DRS Plans'!$HRG:$HRJ,'&gt;=50 Calc for DRS Plans'!$IBC:$IBF,'&gt;=50 Calc for DRS Plans'!$IKY:$ILB,'&gt;=50 Calc for DRS Plans'!$IUU:$IUX,'&gt;=50 Calc for DRS Plans'!$JEQ:$JET,'&gt;=50 Calc for DRS Plans'!$JOM:$JOP,'&gt;=50 Calc for DRS Plans'!$JYI:$JYL,'&gt;=50 Calc for DRS Plans'!$KIE:$KIH,'&gt;=50 Calc for DRS Plans'!$KSA:$KSD,'&gt;=50 Calc for DRS Plans'!$LBW:$LBZ,'&gt;=50 Calc for DRS Plans'!$LLS:$LLV,'&gt;=50 Calc for DRS Plans'!$LVO:$LVR,'&gt;=50 Calc for DRS Plans'!$MFK:$MFN,'&gt;=50 Calc for DRS Plans'!$MPG:$MPJ,'&gt;=50 Calc for DRS Plans'!$MZC:$MZF,'&gt;=50 Calc for DRS Plans'!$NIY:$NJB,'&gt;=50 Calc for DRS Plans'!$NSU:$NSX,'&gt;=50 Calc for DRS Plans'!$OCQ:$OCT,'&gt;=50 Calc for DRS Plans'!$OMM:$OMP,'&gt;=50 Calc for DRS Plans'!$OWI:$OWL,'&gt;=50 Calc for DRS Plans'!$PGE:$PGH,'&gt;=50 Calc for DRS Plans'!$PQA:$PQD,'&gt;=50 Calc for DRS Plans'!$PZW:$PZZ,'&gt;=50 Calc for DRS Plans'!$QJS:$QJV,'&gt;=50 Calc for DRS Plans'!$QTO:$QTR,'&gt;=50 Calc for DRS Plans'!$RDK:$RDN,'&gt;=50 Calc for DRS Plans'!$RNG:$RNJ,'&gt;=50 Calc for DRS Plans'!$RXC:$RXF,'&gt;=50 Calc for DRS Plans'!$SGY:$SHB,'&gt;=50 Calc for DRS Plans'!$SQU:$SQX,'&gt;=50 Calc for DRS Plans'!$TAQ:$TAT,'&gt;=50 Calc for DRS Plans'!$TKM:$TKP,'&gt;=50 Calc for DRS Plans'!$TUI:$TUL,'&gt;=50 Calc for DRS Plans'!$UEE:$UEH,'&gt;=50 Calc for DRS Plans'!$UOA:$UOD,'&gt;=50 Calc for DRS Plans'!$UXW:$UXZ,'&gt;=50 Calc for DRS Plans'!$VHS:$VHV,'&gt;=50 Calc for DRS Plans'!$VRO:$VRR,'&gt;=50 Calc for DRS Plans'!$WBK:$WBN,'&gt;=50 Calc for DRS Plans'!$WLG:$WLJ,'&gt;=50 Calc for DRS Plans'!$WVC:$WVF</definedName>
    <definedName name="Z_38B7F0AC_1968_4179_B248_6144E152B72B_.wvu.Cols" localSheetId="0" hidden="1">'Bandyopadhyay 11.25 &amp; 12.10.'!#REF!,'Bandyopadhyay 11.25 &amp; 12.10.'!$JD:$JG,'Bandyopadhyay 11.25 &amp; 12.10.'!$SZ:$TC,'Bandyopadhyay 11.25 &amp; 12.10.'!$ACV:$ACY,'Bandyopadhyay 11.25 &amp; 12.10.'!$AMR:$AMU,'Bandyopadhyay 11.25 &amp; 12.10.'!$AWN:$AWQ,'Bandyopadhyay 11.25 &amp; 12.10.'!$BGJ:$BGM,'Bandyopadhyay 11.25 &amp; 12.10.'!$BQF:$BQI,'Bandyopadhyay 11.25 &amp; 12.10.'!$CAB:$CAE,'Bandyopadhyay 11.25 &amp; 12.10.'!$CJX:$CKA,'Bandyopadhyay 11.25 &amp; 12.10.'!$CTT:$CTW,'Bandyopadhyay 11.25 &amp; 12.10.'!$DDP:$DDS,'Bandyopadhyay 11.25 &amp; 12.10.'!$DNL:$DNO,'Bandyopadhyay 11.25 &amp; 12.10.'!$DXH:$DXK,'Bandyopadhyay 11.25 &amp; 12.10.'!$EHD:$EHG,'Bandyopadhyay 11.25 &amp; 12.10.'!$EQZ:$ERC,'Bandyopadhyay 11.25 &amp; 12.10.'!$FAV:$FAY,'Bandyopadhyay 11.25 &amp; 12.10.'!$FKR:$FKU,'Bandyopadhyay 11.25 &amp; 12.10.'!$FUN:$FUQ,'Bandyopadhyay 11.25 &amp; 12.10.'!$GEJ:$GEM,'Bandyopadhyay 11.25 &amp; 12.10.'!$GOF:$GOI,'Bandyopadhyay 11.25 &amp; 12.10.'!$GYB:$GYE,'Bandyopadhyay 11.25 &amp; 12.10.'!$HHX:$HIA,'Bandyopadhyay 11.25 &amp; 12.10.'!$HRT:$HRW,'Bandyopadhyay 11.25 &amp; 12.10.'!$IBP:$IBS,'Bandyopadhyay 11.25 &amp; 12.10.'!$ILL:$ILO,'Bandyopadhyay 11.25 &amp; 12.10.'!$IVH:$IVK,'Bandyopadhyay 11.25 &amp; 12.10.'!$JFD:$JFG,'Bandyopadhyay 11.25 &amp; 12.10.'!$JOZ:$JPC,'Bandyopadhyay 11.25 &amp; 12.10.'!$JYV:$JYY,'Bandyopadhyay 11.25 &amp; 12.10.'!$KIR:$KIU,'Bandyopadhyay 11.25 &amp; 12.10.'!$KSN:$KSQ,'Bandyopadhyay 11.25 &amp; 12.10.'!$LCJ:$LCM,'Bandyopadhyay 11.25 &amp; 12.10.'!$LMF:$LMI,'Bandyopadhyay 11.25 &amp; 12.10.'!$LWB:$LWE,'Bandyopadhyay 11.25 &amp; 12.10.'!$MFX:$MGA,'Bandyopadhyay 11.25 &amp; 12.10.'!$MPT:$MPW,'Bandyopadhyay 11.25 &amp; 12.10.'!$MZP:$MZS,'Bandyopadhyay 11.25 &amp; 12.10.'!$NJL:$NJO,'Bandyopadhyay 11.25 &amp; 12.10.'!$NTH:$NTK,'Bandyopadhyay 11.25 &amp; 12.10.'!$ODD:$ODG,'Bandyopadhyay 11.25 &amp; 12.10.'!$OMZ:$ONC,'Bandyopadhyay 11.25 &amp; 12.10.'!$OWV:$OWY,'Bandyopadhyay 11.25 &amp; 12.10.'!$PGR:$PGU,'Bandyopadhyay 11.25 &amp; 12.10.'!$PQN:$PQQ,'Bandyopadhyay 11.25 &amp; 12.10.'!$QAJ:$QAM,'Bandyopadhyay 11.25 &amp; 12.10.'!$QKF:$QKI,'Bandyopadhyay 11.25 &amp; 12.10.'!$QUB:$QUE,'Bandyopadhyay 11.25 &amp; 12.10.'!$RDX:$REA,'Bandyopadhyay 11.25 &amp; 12.10.'!$RNT:$RNW,'Bandyopadhyay 11.25 &amp; 12.10.'!$RXP:$RXS,'Bandyopadhyay 11.25 &amp; 12.10.'!$SHL:$SHO,'Bandyopadhyay 11.25 &amp; 12.10.'!$SRH:$SRK,'Bandyopadhyay 11.25 &amp; 12.10.'!$TBD:$TBG,'Bandyopadhyay 11.25 &amp; 12.10.'!$TKZ:$TLC,'Bandyopadhyay 11.25 &amp; 12.10.'!$TUV:$TUY,'Bandyopadhyay 11.25 &amp; 12.10.'!$UER:$UEU,'Bandyopadhyay 11.25 &amp; 12.10.'!$UON:$UOQ,'Bandyopadhyay 11.25 &amp; 12.10.'!$UYJ:$UYM,'Bandyopadhyay 11.25 &amp; 12.10.'!$VIF:$VII,'Bandyopadhyay 11.25 &amp; 12.10.'!$VSB:$VSE,'Bandyopadhyay 11.25 &amp; 12.10.'!$WBX:$WCA,'Bandyopadhyay 11.25 &amp; 12.10.'!$WLT:$WLW,'Bandyopadhyay 11.25 &amp; 12.10.'!$WVP:$WVS</definedName>
    <definedName name="Z_38B7F0AC_1968_4179_B248_6144E152B72B_.wvu.Cols" localSheetId="1" hidden="1">'Bender 11.25.'!#REF!,'Bender 11.25.'!$JD:$JG,'Bender 11.25.'!$SZ:$TC,'Bender 11.25.'!$ACV:$ACY,'Bender 11.25.'!$AMR:$AMU,'Bender 11.25.'!$AWN:$AWQ,'Bender 11.25.'!$BGJ:$BGM,'Bender 11.25.'!$BQF:$BQI,'Bender 11.25.'!$CAB:$CAE,'Bender 11.25.'!$CJX:$CKA,'Bender 11.25.'!$CTT:$CTW,'Bender 11.25.'!$DDP:$DDS,'Bender 11.25.'!$DNL:$DNO,'Bender 11.25.'!$DXH:$DXK,'Bender 11.25.'!$EHD:$EHG,'Bender 11.25.'!$EQZ:$ERC,'Bender 11.25.'!$FAV:$FAY,'Bender 11.25.'!$FKR:$FKU,'Bender 11.25.'!$FUN:$FUQ,'Bender 11.25.'!$GEJ:$GEM,'Bender 11.25.'!$GOF:$GOI,'Bender 11.25.'!$GYB:$GYE,'Bender 11.25.'!$HHX:$HIA,'Bender 11.25.'!$HRT:$HRW,'Bender 11.25.'!$IBP:$IBS,'Bender 11.25.'!$ILL:$ILO,'Bender 11.25.'!$IVH:$IVK,'Bender 11.25.'!$JFD:$JFG,'Bender 11.25.'!$JOZ:$JPC,'Bender 11.25.'!$JYV:$JYY,'Bender 11.25.'!$KIR:$KIU,'Bender 11.25.'!$KSN:$KSQ,'Bender 11.25.'!$LCJ:$LCM,'Bender 11.25.'!$LMF:$LMI,'Bender 11.25.'!$LWB:$LWE,'Bender 11.25.'!$MFX:$MGA,'Bender 11.25.'!$MPT:$MPW,'Bender 11.25.'!$MZP:$MZS,'Bender 11.25.'!$NJL:$NJO,'Bender 11.25.'!$NTH:$NTK,'Bender 11.25.'!$ODD:$ODG,'Bender 11.25.'!$OMZ:$ONC,'Bender 11.25.'!$OWV:$OWY,'Bender 11.25.'!$PGR:$PGU,'Bender 11.25.'!$PQN:$PQQ,'Bender 11.25.'!$QAJ:$QAM,'Bender 11.25.'!$QKF:$QKI,'Bender 11.25.'!$QUB:$QUE,'Bender 11.25.'!$RDX:$REA,'Bender 11.25.'!$RNT:$RNW,'Bender 11.25.'!$RXP:$RXS,'Bender 11.25.'!$SHL:$SHO,'Bender 11.25.'!$SRH:$SRK,'Bender 11.25.'!$TBD:$TBG,'Bender 11.25.'!$TKZ:$TLC,'Bender 11.25.'!$TUV:$TUY,'Bender 11.25.'!$UER:$UEU,'Bender 11.25.'!$UON:$UOQ,'Bender 11.25.'!$UYJ:$UYM,'Bender 11.25.'!$VIF:$VII,'Bender 11.25.'!$VSB:$VSE,'Bender 11.25.'!$WBX:$WCA,'Bender 11.25.'!$WLT:$WLW,'Bender 11.25.'!$WVP:$WVS</definedName>
    <definedName name="Z_38B7F0AC_1968_4179_B248_6144E152B72B_.wvu.Cols" localSheetId="2" hidden="1">'Bose, Susmita 11.25.1'!#REF!,'Bose, Susmita 11.25.1'!$JD:$JG,'Bose, Susmita 11.25.1'!$SZ:$TC,'Bose, Susmita 11.25.1'!$ACV:$ACY,'Bose, Susmita 11.25.1'!$AMR:$AMU,'Bose, Susmita 11.25.1'!$AWN:$AWQ,'Bose, Susmita 11.25.1'!$BGJ:$BGM,'Bose, Susmita 11.25.1'!$BQF:$BQI,'Bose, Susmita 11.25.1'!$CAB:$CAE,'Bose, Susmita 11.25.1'!$CJX:$CKA,'Bose, Susmita 11.25.1'!$CTT:$CTW,'Bose, Susmita 11.25.1'!$DDP:$DDS,'Bose, Susmita 11.25.1'!$DNL:$DNO,'Bose, Susmita 11.25.1'!$DXH:$DXK,'Bose, Susmita 11.25.1'!$EHD:$EHG,'Bose, Susmita 11.25.1'!$EQZ:$ERC,'Bose, Susmita 11.25.1'!$FAV:$FAY,'Bose, Susmita 11.25.1'!$FKR:$FKU,'Bose, Susmita 11.25.1'!$FUN:$FUQ,'Bose, Susmita 11.25.1'!$GEJ:$GEM,'Bose, Susmita 11.25.1'!$GOF:$GOI,'Bose, Susmita 11.25.1'!$GYB:$GYE,'Bose, Susmita 11.25.1'!$HHX:$HIA,'Bose, Susmita 11.25.1'!$HRT:$HRW,'Bose, Susmita 11.25.1'!$IBP:$IBS,'Bose, Susmita 11.25.1'!$ILL:$ILO,'Bose, Susmita 11.25.1'!$IVH:$IVK,'Bose, Susmita 11.25.1'!$JFD:$JFG,'Bose, Susmita 11.25.1'!$JOZ:$JPC,'Bose, Susmita 11.25.1'!$JYV:$JYY,'Bose, Susmita 11.25.1'!$KIR:$KIU,'Bose, Susmita 11.25.1'!$KSN:$KSQ,'Bose, Susmita 11.25.1'!$LCJ:$LCM,'Bose, Susmita 11.25.1'!$LMF:$LMI,'Bose, Susmita 11.25.1'!$LWB:$LWE,'Bose, Susmita 11.25.1'!$MFX:$MGA,'Bose, Susmita 11.25.1'!$MPT:$MPW,'Bose, Susmita 11.25.1'!$MZP:$MZS,'Bose, Susmita 11.25.1'!$NJL:$NJO,'Bose, Susmita 11.25.1'!$NTH:$NTK,'Bose, Susmita 11.25.1'!$ODD:$ODG,'Bose, Susmita 11.25.1'!$OMZ:$ONC,'Bose, Susmita 11.25.1'!$OWV:$OWY,'Bose, Susmita 11.25.1'!$PGR:$PGU,'Bose, Susmita 11.25.1'!$PQN:$PQQ,'Bose, Susmita 11.25.1'!$QAJ:$QAM,'Bose, Susmita 11.25.1'!$QKF:$QKI,'Bose, Susmita 11.25.1'!$QUB:$QUE,'Bose, Susmita 11.25.1'!$RDX:$REA,'Bose, Susmita 11.25.1'!$RNT:$RNW,'Bose, Susmita 11.25.1'!$RXP:$RXS,'Bose, Susmita 11.25.1'!$SHL:$SHO,'Bose, Susmita 11.25.1'!$SRH:$SRK,'Bose, Susmita 11.25.1'!$TBD:$TBG,'Bose, Susmita 11.25.1'!$TKZ:$TLC,'Bose, Susmita 11.25.1'!$TUV:$TUY,'Bose, Susmita 11.25.1'!$UER:$UEU,'Bose, Susmita 11.25.1'!$UON:$UOQ,'Bose, Susmita 11.25.1'!$UYJ:$UYM,'Bose, Susmita 11.25.1'!$VIF:$VII,'Bose, Susmita 11.25.1'!$VSB:$VSE,'Bose, Susmita 11.25.1'!$WBX:$WCA,'Bose, Susmita 11.25.1'!$WLT:$WLW,'Bose, Susmita 11.25.1'!$WVP:$WVS</definedName>
    <definedName name="Z_38B7F0AC_1968_4179_B248_6144E152B72B_.wvu.Cols" localSheetId="3" hidden="1">'Ding, Jow 11.25.'!#REF!,'Ding, Jow 11.25.'!$JD:$JG,'Ding, Jow 11.25.'!$SZ:$TC,'Ding, Jow 11.25.'!$ACV:$ACY,'Ding, Jow 11.25.'!$AMR:$AMU,'Ding, Jow 11.25.'!$AWN:$AWQ,'Ding, Jow 11.25.'!$BGJ:$BGM,'Ding, Jow 11.25.'!$BQF:$BQI,'Ding, Jow 11.25.'!$CAB:$CAE,'Ding, Jow 11.25.'!$CJX:$CKA,'Ding, Jow 11.25.'!$CTT:$CTW,'Ding, Jow 11.25.'!$DDP:$DDS,'Ding, Jow 11.25.'!$DNL:$DNO,'Ding, Jow 11.25.'!$DXH:$DXK,'Ding, Jow 11.25.'!$EHD:$EHG,'Ding, Jow 11.25.'!$EQZ:$ERC,'Ding, Jow 11.25.'!$FAV:$FAY,'Ding, Jow 11.25.'!$FKR:$FKU,'Ding, Jow 11.25.'!$FUN:$FUQ,'Ding, Jow 11.25.'!$GEJ:$GEM,'Ding, Jow 11.25.'!$GOF:$GOI,'Ding, Jow 11.25.'!$GYB:$GYE,'Ding, Jow 11.25.'!$HHX:$HIA,'Ding, Jow 11.25.'!$HRT:$HRW,'Ding, Jow 11.25.'!$IBP:$IBS,'Ding, Jow 11.25.'!$ILL:$ILO,'Ding, Jow 11.25.'!$IVH:$IVK,'Ding, Jow 11.25.'!$JFD:$JFG,'Ding, Jow 11.25.'!$JOZ:$JPC,'Ding, Jow 11.25.'!$JYV:$JYY,'Ding, Jow 11.25.'!$KIR:$KIU,'Ding, Jow 11.25.'!$KSN:$KSQ,'Ding, Jow 11.25.'!$LCJ:$LCM,'Ding, Jow 11.25.'!$LMF:$LMI,'Ding, Jow 11.25.'!$LWB:$LWE,'Ding, Jow 11.25.'!$MFX:$MGA,'Ding, Jow 11.25.'!$MPT:$MPW,'Ding, Jow 11.25.'!$MZP:$MZS,'Ding, Jow 11.25.'!$NJL:$NJO,'Ding, Jow 11.25.'!$NTH:$NTK,'Ding, Jow 11.25.'!$ODD:$ODG,'Ding, Jow 11.25.'!$OMZ:$ONC,'Ding, Jow 11.25.'!$OWV:$OWY,'Ding, Jow 11.25.'!$PGR:$PGU,'Ding, Jow 11.25.'!$PQN:$PQQ,'Ding, Jow 11.25.'!$QAJ:$QAM,'Ding, Jow 11.25.'!$QKF:$QKI,'Ding, Jow 11.25.'!$QUB:$QUE,'Ding, Jow 11.25.'!$RDX:$REA,'Ding, Jow 11.25.'!$RNT:$RNW,'Ding, Jow 11.25.'!$RXP:$RXS,'Ding, Jow 11.25.'!$SHL:$SHO,'Ding, Jow 11.25.'!$SRH:$SRK,'Ding, Jow 11.25.'!$TBD:$TBG,'Ding, Jow 11.25.'!$TKZ:$TLC,'Ding, Jow 11.25.'!$TUV:$TUY,'Ding, Jow 11.25.'!$UER:$UEU,'Ding, Jow 11.25.'!$UON:$UOQ,'Ding, Jow 11.25.'!$UYJ:$UYM,'Ding, Jow 11.25.'!$VIF:$VII,'Ding, Jow 11.25.'!$VSB:$VSE,'Ding, Jow 11.25.'!$WBX:$WCA,'Ding, Jow 11.25.'!$WLT:$WLW,'Ding, Jow 11.25.'!$WVP:$WVS</definedName>
    <definedName name="Z_38B7F0AC_1968_4179_B248_6144E152B72B_.wvu.Cols" localSheetId="4" hidden="1">'Eilers - 11.10 Double check'!$L:$O,'Eilers - 11.10 Double check'!$JH:$JK,'Eilers - 11.10 Double check'!$TD:$TG,'Eilers - 11.10 Double check'!$ACZ:$ADC,'Eilers - 11.10 Double check'!$AMV:$AMY,'Eilers - 11.10 Double check'!$AWR:$AWU,'Eilers - 11.10 Double check'!$BGN:$BGQ,'Eilers - 11.10 Double check'!$BQJ:$BQM,'Eilers - 11.10 Double check'!$CAF:$CAI,'Eilers - 11.10 Double check'!$CKB:$CKE,'Eilers - 11.10 Double check'!$CTX:$CUA,'Eilers - 11.10 Double check'!$DDT:$DDW,'Eilers - 11.10 Double check'!$DNP:$DNS,'Eilers - 11.10 Double check'!$DXL:$DXO,'Eilers - 11.10 Double check'!$EHH:$EHK,'Eilers - 11.10 Double check'!$ERD:$ERG,'Eilers - 11.10 Double check'!$FAZ:$FBC,'Eilers - 11.10 Double check'!$FKV:$FKY,'Eilers - 11.10 Double check'!$FUR:$FUU,'Eilers - 11.10 Double check'!$GEN:$GEQ,'Eilers - 11.10 Double check'!$GOJ:$GOM,'Eilers - 11.10 Double check'!$GYF:$GYI,'Eilers - 11.10 Double check'!$HIB:$HIE,'Eilers - 11.10 Double check'!$HRX:$HSA,'Eilers - 11.10 Double check'!$IBT:$IBW,'Eilers - 11.10 Double check'!$ILP:$ILS,'Eilers - 11.10 Double check'!$IVL:$IVO,'Eilers - 11.10 Double check'!$JFH:$JFK,'Eilers - 11.10 Double check'!$JPD:$JPG,'Eilers - 11.10 Double check'!$JYZ:$JZC,'Eilers - 11.10 Double check'!$KIV:$KIY,'Eilers - 11.10 Double check'!$KSR:$KSU,'Eilers - 11.10 Double check'!$LCN:$LCQ,'Eilers - 11.10 Double check'!$LMJ:$LMM,'Eilers - 11.10 Double check'!$LWF:$LWI,'Eilers - 11.10 Double check'!$MGB:$MGE,'Eilers - 11.10 Double check'!$MPX:$MQA,'Eilers - 11.10 Double check'!$MZT:$MZW,'Eilers - 11.10 Double check'!$NJP:$NJS,'Eilers - 11.10 Double check'!$NTL:$NTO,'Eilers - 11.10 Double check'!$ODH:$ODK,'Eilers - 11.10 Double check'!$OND:$ONG,'Eilers - 11.10 Double check'!$OWZ:$OXC,'Eilers - 11.10 Double check'!$PGV:$PGY,'Eilers - 11.10 Double check'!$PQR:$PQU,'Eilers - 11.10 Double check'!$QAN:$QAQ,'Eilers - 11.10 Double check'!$QKJ:$QKM,'Eilers - 11.10 Double check'!$QUF:$QUI,'Eilers - 11.10 Double check'!$REB:$REE,'Eilers - 11.10 Double check'!$RNX:$ROA,'Eilers - 11.10 Double check'!$RXT:$RXW,'Eilers - 11.10 Double check'!$SHP:$SHS,'Eilers - 11.10 Double check'!$SRL:$SRO,'Eilers - 11.10 Double check'!$TBH:$TBK,'Eilers - 11.10 Double check'!$TLD:$TLG,'Eilers - 11.10 Double check'!$TUZ:$TVC,'Eilers - 11.10 Double check'!$UEV:$UEY,'Eilers - 11.10 Double check'!$UOR:$UOU,'Eilers - 11.10 Double check'!$UYN:$UYQ,'Eilers - 11.10 Double check'!$VIJ:$VIM,'Eilers - 11.10 Double check'!$VSF:$VSI,'Eilers - 11.10 Double check'!$WCB:$WCE,'Eilers - 11.10 Double check'!$WLX:$WMA,'Eilers - 11.10 Double check'!$WVT:$WVW</definedName>
    <definedName name="Z_38B7F0AC_1968_4179_B248_6144E152B72B_.wvu.Cols" localSheetId="5" hidden="1">'Eilers - full yr'!$L:$O,'Eilers - full yr'!$JH:$JK,'Eilers - full yr'!$TD:$TG,'Eilers - full yr'!$ACZ:$ADC,'Eilers - full yr'!$AMV:$AMY,'Eilers - full yr'!$AWR:$AWU,'Eilers - full yr'!$BGN:$BGQ,'Eilers - full yr'!$BQJ:$BQM,'Eilers - full yr'!$CAF:$CAI,'Eilers - full yr'!$CKB:$CKE,'Eilers - full yr'!$CTX:$CUA,'Eilers - full yr'!$DDT:$DDW,'Eilers - full yr'!$DNP:$DNS,'Eilers - full yr'!$DXL:$DXO,'Eilers - full yr'!$EHH:$EHK,'Eilers - full yr'!$ERD:$ERG,'Eilers - full yr'!$FAZ:$FBC,'Eilers - full yr'!$FKV:$FKY,'Eilers - full yr'!$FUR:$FUU,'Eilers - full yr'!$GEN:$GEQ,'Eilers - full yr'!$GOJ:$GOM,'Eilers - full yr'!$GYF:$GYI,'Eilers - full yr'!$HIB:$HIE,'Eilers - full yr'!$HRX:$HSA,'Eilers - full yr'!$IBT:$IBW,'Eilers - full yr'!$ILP:$ILS,'Eilers - full yr'!$IVL:$IVO,'Eilers - full yr'!$JFH:$JFK,'Eilers - full yr'!$JPD:$JPG,'Eilers - full yr'!$JYZ:$JZC,'Eilers - full yr'!$KIV:$KIY,'Eilers - full yr'!$KSR:$KSU,'Eilers - full yr'!$LCN:$LCQ,'Eilers - full yr'!$LMJ:$LMM,'Eilers - full yr'!$LWF:$LWI,'Eilers - full yr'!$MGB:$MGE,'Eilers - full yr'!$MPX:$MQA,'Eilers - full yr'!$MZT:$MZW,'Eilers - full yr'!$NJP:$NJS,'Eilers - full yr'!$NTL:$NTO,'Eilers - full yr'!$ODH:$ODK,'Eilers - full yr'!$OND:$ONG,'Eilers - full yr'!$OWZ:$OXC,'Eilers - full yr'!$PGV:$PGY,'Eilers - full yr'!$PQR:$PQU,'Eilers - full yr'!$QAN:$QAQ,'Eilers - full yr'!$QKJ:$QKM,'Eilers - full yr'!$QUF:$QUI,'Eilers - full yr'!$REB:$REE,'Eilers - full yr'!$RNX:$ROA,'Eilers - full yr'!$RXT:$RXW,'Eilers - full yr'!$SHP:$SHS,'Eilers - full yr'!$SRL:$SRO,'Eilers - full yr'!$TBH:$TBK,'Eilers - full yr'!$TLD:$TLG,'Eilers - full yr'!$TUZ:$TVC,'Eilers - full yr'!$UEV:$UEY,'Eilers - full yr'!$UOR:$UOU,'Eilers - full yr'!$UYN:$UYQ,'Eilers - full yr'!$VIJ:$VIM,'Eilers - full yr'!$VSF:$VSI,'Eilers - full yr'!$WCB:$WCE,'Eilers - full yr'!$WLX:$WMA,'Eilers - full yr'!$WVT:$WVW</definedName>
    <definedName name="Z_38B7F0AC_1968_4179_B248_6144E152B72B_.wvu.Cols" localSheetId="6" hidden="1">Etheridge!$K:$N,Etheridge!$JG:$JJ,Etheridge!$TC:$TF,Etheridge!$ACY:$ADB,Etheridge!$AMU:$AMX,Etheridge!$AWQ:$AWT,Etheridge!$BGM:$BGP,Etheridge!$BQI:$BQL,Etheridge!$CAE:$CAH,Etheridge!$CKA:$CKD,Etheridge!$CTW:$CTZ,Etheridge!$DDS:$DDV,Etheridge!$DNO:$DNR,Etheridge!$DXK:$DXN,Etheridge!$EHG:$EHJ,Etheridge!$ERC:$ERF,Etheridge!$FAY:$FBB,Etheridge!$FKU:$FKX,Etheridge!$FUQ:$FUT,Etheridge!$GEM:$GEP,Etheridge!$GOI:$GOL,Etheridge!$GYE:$GYH,Etheridge!$HIA:$HID,Etheridge!$HRW:$HRZ,Etheridge!$IBS:$IBV,Etheridge!$ILO:$ILR,Etheridge!$IVK:$IVN,Etheridge!$JFG:$JFJ,Etheridge!$JPC:$JPF,Etheridge!$JYY:$JZB,Etheridge!$KIU:$KIX,Etheridge!$KSQ:$KST,Etheridge!$LCM:$LCP,Etheridge!$LMI:$LML,Etheridge!$LWE:$LWH,Etheridge!$MGA:$MGD,Etheridge!$MPW:$MPZ,Etheridge!$MZS:$MZV,Etheridge!$NJO:$NJR,Etheridge!$NTK:$NTN,Etheridge!$ODG:$ODJ,Etheridge!$ONC:$ONF,Etheridge!$OWY:$OXB,Etheridge!$PGU:$PGX,Etheridge!$PQQ:$PQT,Etheridge!$QAM:$QAP,Etheridge!$QKI:$QKL,Etheridge!$QUE:$QUH,Etheridge!$REA:$RED,Etheridge!$RNW:$RNZ,Etheridge!$RXS:$RXV,Etheridge!$SHO:$SHR,Etheridge!$SRK:$SRN,Etheridge!$TBG:$TBJ,Etheridge!$TLC:$TLF,Etheridge!$TUY:$TVB,Etheridge!$UEU:$UEX,Etheridge!$UOQ:$UOT,Etheridge!$UYM:$UYP,Etheridge!$VII:$VIL,Etheridge!$VSE:$VSH,Etheridge!$WCA:$WCD,Etheridge!$WLW:$WLZ,Etheridge!$WVS:$WVV</definedName>
    <definedName name="Z_38B7F0AC_1968_4179_B248_6144E152B72B_.wvu.Cols" localSheetId="7" hidden="1">Flores1!#REF!,Flores1!$JD:$JG,Flores1!$SZ:$TC,Flores1!$ACV:$ACY,Flores1!$AMR:$AMU,Flores1!$AWN:$AWQ,Flores1!$BGJ:$BGM,Flores1!$BQF:$BQI,Flores1!$CAB:$CAE,Flores1!$CJX:$CKA,Flores1!$CTT:$CTW,Flores1!$DDP:$DDS,Flores1!$DNL:$DNO,Flores1!$DXH:$DXK,Flores1!$EHD:$EHG,Flores1!$EQZ:$ERC,Flores1!$FAV:$FAY,Flores1!$FKR:$FKU,Flores1!$FUN:$FUQ,Flores1!$GEJ:$GEM,Flores1!$GOF:$GOI,Flores1!$GYB:$GYE,Flores1!$HHX:$HIA,Flores1!$HRT:$HRW,Flores1!$IBP:$IBS,Flores1!$ILL:$ILO,Flores1!$IVH:$IVK,Flores1!$JFD:$JFG,Flores1!$JOZ:$JPC,Flores1!$JYV:$JYY,Flores1!$KIR:$KIU,Flores1!$KSN:$KSQ,Flores1!$LCJ:$LCM,Flores1!$LMF:$LMI,Flores1!$LWB:$LWE,Flores1!$MFX:$MGA,Flores1!$MPT:$MPW,Flores1!$MZP:$MZS,Flores1!$NJL:$NJO,Flores1!$NTH:$NTK,Flores1!$ODD:$ODG,Flores1!$OMZ:$ONC,Flores1!$OWV:$OWY,Flores1!$PGR:$PGU,Flores1!$PQN:$PQQ,Flores1!$QAJ:$QAM,Flores1!$QKF:$QKI,Flores1!$QUB:$QUE,Flores1!$RDX:$REA,Flores1!$RNT:$RNW,Flores1!$RXP:$RXS,Flores1!$SHL:$SHO,Flores1!$SRH:$SRK,Flores1!$TBD:$TBG,Flores1!$TKZ:$TLC,Flores1!$TUV:$TUY,Flores1!$UER:$UEU,Flores1!$UON:$UOQ,Flores1!$UYJ:$UYM,Flores1!$VIF:$VII,Flores1!$VSB:$VSE,Flores1!$WBX:$WCA,Flores1!$WLT:$WLW,Flores1!$WVP:$WVS</definedName>
    <definedName name="Z_38B7F0AC_1968_4179_B248_6144E152B72B_.wvu.Cols" localSheetId="8" hidden="1">'Franklin (SK)'!#REF!,'Franklin (SK)'!$JD:$JG,'Franklin (SK)'!$SZ:$TC,'Franklin (SK)'!$ACV:$ACY,'Franklin (SK)'!$AMR:$AMU,'Franklin (SK)'!$AWN:$AWQ,'Franklin (SK)'!$BGJ:$BGM,'Franklin (SK)'!$BQF:$BQI,'Franklin (SK)'!$CAB:$CAE,'Franklin (SK)'!$CJX:$CKA,'Franklin (SK)'!$CTT:$CTW,'Franklin (SK)'!$DDP:$DDS,'Franklin (SK)'!$DNL:$DNO,'Franklin (SK)'!$DXH:$DXK,'Franklin (SK)'!$EHD:$EHG,'Franklin (SK)'!$EQZ:$ERC,'Franklin (SK)'!$FAV:$FAY,'Franklin (SK)'!$FKR:$FKU,'Franklin (SK)'!$FUN:$FUQ,'Franklin (SK)'!$GEJ:$GEM,'Franklin (SK)'!$GOF:$GOI,'Franklin (SK)'!$GYB:$GYE,'Franklin (SK)'!$HHX:$HIA,'Franklin (SK)'!$HRT:$HRW,'Franklin (SK)'!$IBP:$IBS,'Franklin (SK)'!$ILL:$ILO,'Franklin (SK)'!$IVH:$IVK,'Franklin (SK)'!$JFD:$JFG,'Franklin (SK)'!$JOZ:$JPC,'Franklin (SK)'!$JYV:$JYY,'Franklin (SK)'!$KIR:$KIU,'Franklin (SK)'!$KSN:$KSQ,'Franklin (SK)'!$LCJ:$LCM,'Franklin (SK)'!$LMF:$LMI,'Franklin (SK)'!$LWB:$LWE,'Franklin (SK)'!$MFX:$MGA,'Franklin (SK)'!$MPT:$MPW,'Franklin (SK)'!$MZP:$MZS,'Franklin (SK)'!$NJL:$NJO,'Franklin (SK)'!$NTH:$NTK,'Franklin (SK)'!$ODD:$ODG,'Franklin (SK)'!$OMZ:$ONC,'Franklin (SK)'!$OWV:$OWY,'Franklin (SK)'!$PGR:$PGU,'Franklin (SK)'!$PQN:$PQQ,'Franklin (SK)'!$QAJ:$QAM,'Franklin (SK)'!$QKF:$QKI,'Franklin (SK)'!$QUB:$QUE,'Franklin (SK)'!$RDX:$REA,'Franklin (SK)'!$RNT:$RNW,'Franklin (SK)'!$RXP:$RXS,'Franklin (SK)'!$SHL:$SHO,'Franklin (SK)'!$SRH:$SRK,'Franklin (SK)'!$TBD:$TBG,'Franklin (SK)'!$TKZ:$TLC,'Franklin (SK)'!$TUV:$TUY,'Franklin (SK)'!$UER:$UEU,'Franklin (SK)'!$UON:$UOQ,'Franklin (SK)'!$UYJ:$UYM,'Franklin (SK)'!$VIF:$VII,'Franklin (SK)'!$VSB:$VSE,'Franklin (SK)'!$WBX:$WCA,'Franklin (SK)'!$WLT:$WLW,'Franklin (SK)'!$WVP:$WVS</definedName>
    <definedName name="Z_38B7F0AC_1968_4179_B248_6144E152B72B_.wvu.Cols" localSheetId="9" hidden="1">'He 10.25'!$K:$N,'He 10.25'!$JG:$JJ,'He 10.25'!$TC:$TF,'He 10.25'!$ACY:$ADB,'He 10.25'!$AMU:$AMX,'He 10.25'!$AWQ:$AWT,'He 10.25'!$BGM:$BGP,'He 10.25'!$BQI:$BQL,'He 10.25'!$CAE:$CAH,'He 10.25'!$CKA:$CKD,'He 10.25'!$CTW:$CTZ,'He 10.25'!$DDS:$DDV,'He 10.25'!$DNO:$DNR,'He 10.25'!$DXK:$DXN,'He 10.25'!$EHG:$EHJ,'He 10.25'!$ERC:$ERF,'He 10.25'!$FAY:$FBB,'He 10.25'!$FKU:$FKX,'He 10.25'!$FUQ:$FUT,'He 10.25'!$GEM:$GEP,'He 10.25'!$GOI:$GOL,'He 10.25'!$GYE:$GYH,'He 10.25'!$HIA:$HID,'He 10.25'!$HRW:$HRZ,'He 10.25'!$IBS:$IBV,'He 10.25'!$ILO:$ILR,'He 10.25'!$IVK:$IVN,'He 10.25'!$JFG:$JFJ,'He 10.25'!$JPC:$JPF,'He 10.25'!$JYY:$JZB,'He 10.25'!$KIU:$KIX,'He 10.25'!$KSQ:$KST,'He 10.25'!$LCM:$LCP,'He 10.25'!$LMI:$LML,'He 10.25'!$LWE:$LWH,'He 10.25'!$MGA:$MGD,'He 10.25'!$MPW:$MPZ,'He 10.25'!$MZS:$MZV,'He 10.25'!$NJO:$NJR,'He 10.25'!$NTK:$NTN,'He 10.25'!$ODG:$ODJ,'He 10.25'!$ONC:$ONF,'He 10.25'!$OWY:$OXB,'He 10.25'!$PGU:$PGX,'He 10.25'!$PQQ:$PQT,'He 10.25'!$QAM:$QAP,'He 10.25'!$QKI:$QKL,'He 10.25'!$QUE:$QUH,'He 10.25'!$REA:$RED,'He 10.25'!$RNW:$RNZ,'He 10.25'!$RXS:$RXV,'He 10.25'!$SHO:$SHR,'He 10.25'!$SRK:$SRN,'He 10.25'!$TBG:$TBJ,'He 10.25'!$TLC:$TLF,'He 10.25'!$TUY:$TVB,'He 10.25'!$UEU:$UEX,'He 10.25'!$UOQ:$UOT,'He 10.25'!$UYM:$UYP,'He 10.25'!$VII:$VIL,'He 10.25'!$VSE:$VSH,'He 10.25'!$WCA:$WCD,'He 10.25'!$WLW:$WLZ,'He 10.25'!$WVS:$WVV</definedName>
    <definedName name="Z_38B7F0AC_1968_4179_B248_6144E152B72B_.wvu.Cols" localSheetId="10" hidden="1">'Jordan, Michael'!$M:$P,'Jordan, Michael'!$JI:$JL,'Jordan, Michael'!$TE:$TH,'Jordan, Michael'!$ADA:$ADD,'Jordan, Michael'!$AMW:$AMZ,'Jordan, Michael'!$AWS:$AWV,'Jordan, Michael'!$BGO:$BGR,'Jordan, Michael'!$BQK:$BQN,'Jordan, Michael'!$CAG:$CAJ,'Jordan, Michael'!$CKC:$CKF,'Jordan, Michael'!$CTY:$CUB,'Jordan, Michael'!$DDU:$DDX,'Jordan, Michael'!$DNQ:$DNT,'Jordan, Michael'!$DXM:$DXP,'Jordan, Michael'!$EHI:$EHL,'Jordan, Michael'!$ERE:$ERH,'Jordan, Michael'!$FBA:$FBD,'Jordan, Michael'!$FKW:$FKZ,'Jordan, Michael'!$FUS:$FUV,'Jordan, Michael'!$GEO:$GER,'Jordan, Michael'!$GOK:$GON,'Jordan, Michael'!$GYG:$GYJ,'Jordan, Michael'!$HIC:$HIF,'Jordan, Michael'!$HRY:$HSB,'Jordan, Michael'!$IBU:$IBX,'Jordan, Michael'!$ILQ:$ILT,'Jordan, Michael'!$IVM:$IVP,'Jordan, Michael'!$JFI:$JFL,'Jordan, Michael'!$JPE:$JPH,'Jordan, Michael'!$JZA:$JZD,'Jordan, Michael'!$KIW:$KIZ,'Jordan, Michael'!$KSS:$KSV,'Jordan, Michael'!$LCO:$LCR,'Jordan, Michael'!$LMK:$LMN,'Jordan, Michael'!$LWG:$LWJ,'Jordan, Michael'!$MGC:$MGF,'Jordan, Michael'!$MPY:$MQB,'Jordan, Michael'!$MZU:$MZX,'Jordan, Michael'!$NJQ:$NJT,'Jordan, Michael'!$NTM:$NTP,'Jordan, Michael'!$ODI:$ODL,'Jordan, Michael'!$ONE:$ONH,'Jordan, Michael'!$OXA:$OXD,'Jordan, Michael'!$PGW:$PGZ,'Jordan, Michael'!$PQS:$PQV,'Jordan, Michael'!$QAO:$QAR,'Jordan, Michael'!$QKK:$QKN,'Jordan, Michael'!$QUG:$QUJ,'Jordan, Michael'!$REC:$REF,'Jordan, Michael'!$RNY:$ROB,'Jordan, Michael'!$RXU:$RXX,'Jordan, Michael'!$SHQ:$SHT,'Jordan, Michael'!$SRM:$SRP,'Jordan, Michael'!$TBI:$TBL,'Jordan, Michael'!$TLE:$TLH,'Jordan, Michael'!$TVA:$TVD,'Jordan, Michael'!$UEW:$UEZ,'Jordan, Michael'!$UOS:$UOV,'Jordan, Michael'!$UYO:$UYR,'Jordan, Michael'!$VIK:$VIN,'Jordan, Michael'!$VSG:$VSJ,'Jordan, Michael'!$WCC:$WCF,'Jordan, Michael'!$WLY:$WMB,'Jordan, Michael'!$WVU:$WVX</definedName>
    <definedName name="Z_38B7F0AC_1968_4179_B248_6144E152B72B_.wvu.Cols" localSheetId="11" hidden="1">'Jordan, Michalel2'!#REF!,'Jordan, Michalel2'!$JD:$JG,'Jordan, Michalel2'!$SZ:$TC,'Jordan, Michalel2'!$ACV:$ACY,'Jordan, Michalel2'!$AMR:$AMU,'Jordan, Michalel2'!$AWN:$AWQ,'Jordan, Michalel2'!$BGJ:$BGM,'Jordan, Michalel2'!$BQF:$BQI,'Jordan, Michalel2'!$CAB:$CAE,'Jordan, Michalel2'!$CJX:$CKA,'Jordan, Michalel2'!$CTT:$CTW,'Jordan, Michalel2'!$DDP:$DDS,'Jordan, Michalel2'!$DNL:$DNO,'Jordan, Michalel2'!$DXH:$DXK,'Jordan, Michalel2'!$EHD:$EHG,'Jordan, Michalel2'!$EQZ:$ERC,'Jordan, Michalel2'!$FAV:$FAY,'Jordan, Michalel2'!$FKR:$FKU,'Jordan, Michalel2'!$FUN:$FUQ,'Jordan, Michalel2'!$GEJ:$GEM,'Jordan, Michalel2'!$GOF:$GOI,'Jordan, Michalel2'!$GYB:$GYE,'Jordan, Michalel2'!$HHX:$HIA,'Jordan, Michalel2'!$HRT:$HRW,'Jordan, Michalel2'!$IBP:$IBS,'Jordan, Michalel2'!$ILL:$ILO,'Jordan, Michalel2'!$IVH:$IVK,'Jordan, Michalel2'!$JFD:$JFG,'Jordan, Michalel2'!$JOZ:$JPC,'Jordan, Michalel2'!$JYV:$JYY,'Jordan, Michalel2'!$KIR:$KIU,'Jordan, Michalel2'!$KSN:$KSQ,'Jordan, Michalel2'!$LCJ:$LCM,'Jordan, Michalel2'!$LMF:$LMI,'Jordan, Michalel2'!$LWB:$LWE,'Jordan, Michalel2'!$MFX:$MGA,'Jordan, Michalel2'!$MPT:$MPW,'Jordan, Michalel2'!$MZP:$MZS,'Jordan, Michalel2'!$NJL:$NJO,'Jordan, Michalel2'!$NTH:$NTK,'Jordan, Michalel2'!$ODD:$ODG,'Jordan, Michalel2'!$OMZ:$ONC,'Jordan, Michalel2'!$OWV:$OWY,'Jordan, Michalel2'!$PGR:$PGU,'Jordan, Michalel2'!$PQN:$PQQ,'Jordan, Michalel2'!$QAJ:$QAM,'Jordan, Michalel2'!$QKF:$QKI,'Jordan, Michalel2'!$QUB:$QUE,'Jordan, Michalel2'!$RDX:$REA,'Jordan, Michalel2'!$RNT:$RNW,'Jordan, Michalel2'!$RXP:$RXS,'Jordan, Michalel2'!$SHL:$SHO,'Jordan, Michalel2'!$SRH:$SRK,'Jordan, Michalel2'!$TBD:$TBG,'Jordan, Michalel2'!$TKZ:$TLC,'Jordan, Michalel2'!$TUV:$TUY,'Jordan, Michalel2'!$UER:$UEU,'Jordan, Michalel2'!$UON:$UOQ,'Jordan, Michalel2'!$UYJ:$UYM,'Jordan, Michalel2'!$VIF:$VII,'Jordan, Michalel2'!$VSB:$VSE,'Jordan, Michalel2'!$WBX:$WCA,'Jordan, Michalel2'!$WLT:$WLW,'Jordan, Michalel2'!$WVP:$WVS</definedName>
    <definedName name="Z_38B7F0AC_1968_4179_B248_6144E152B72B_.wvu.Cols" localSheetId="12" hidden="1">'Manoranjan, V. 11.25.'!$L:$O,'Manoranjan, V. 11.25.'!$JH:$JK,'Manoranjan, V. 11.25.'!$TD:$TG,'Manoranjan, V. 11.25.'!$ACZ:$ADC,'Manoranjan, V. 11.25.'!$AMV:$AMY,'Manoranjan, V. 11.25.'!$AWR:$AWU,'Manoranjan, V. 11.25.'!$BGN:$BGQ,'Manoranjan, V. 11.25.'!$BQJ:$BQM,'Manoranjan, V. 11.25.'!$CAF:$CAI,'Manoranjan, V. 11.25.'!$CKB:$CKE,'Manoranjan, V. 11.25.'!$CTX:$CUA,'Manoranjan, V. 11.25.'!$DDT:$DDW,'Manoranjan, V. 11.25.'!$DNP:$DNS,'Manoranjan, V. 11.25.'!$DXL:$DXO,'Manoranjan, V. 11.25.'!$EHH:$EHK,'Manoranjan, V. 11.25.'!$ERD:$ERG,'Manoranjan, V. 11.25.'!$FAZ:$FBC,'Manoranjan, V. 11.25.'!$FKV:$FKY,'Manoranjan, V. 11.25.'!$FUR:$FUU,'Manoranjan, V. 11.25.'!$GEN:$GEQ,'Manoranjan, V. 11.25.'!$GOJ:$GOM,'Manoranjan, V. 11.25.'!$GYF:$GYI,'Manoranjan, V. 11.25.'!$HIB:$HIE,'Manoranjan, V. 11.25.'!$HRX:$HSA,'Manoranjan, V. 11.25.'!$IBT:$IBW,'Manoranjan, V. 11.25.'!$ILP:$ILS,'Manoranjan, V. 11.25.'!$IVL:$IVO,'Manoranjan, V. 11.25.'!$JFH:$JFK,'Manoranjan, V. 11.25.'!$JPD:$JPG,'Manoranjan, V. 11.25.'!$JYZ:$JZC,'Manoranjan, V. 11.25.'!$KIV:$KIY,'Manoranjan, V. 11.25.'!$KSR:$KSU,'Manoranjan, V. 11.25.'!$LCN:$LCQ,'Manoranjan, V. 11.25.'!$LMJ:$LMM,'Manoranjan, V. 11.25.'!$LWF:$LWI,'Manoranjan, V. 11.25.'!$MGB:$MGE,'Manoranjan, V. 11.25.'!$MPX:$MQA,'Manoranjan, V. 11.25.'!$MZT:$MZW,'Manoranjan, V. 11.25.'!$NJP:$NJS,'Manoranjan, V. 11.25.'!$NTL:$NTO,'Manoranjan, V. 11.25.'!$ODH:$ODK,'Manoranjan, V. 11.25.'!$OND:$ONG,'Manoranjan, V. 11.25.'!$OWZ:$OXC,'Manoranjan, V. 11.25.'!$PGV:$PGY,'Manoranjan, V. 11.25.'!$PQR:$PQU,'Manoranjan, V. 11.25.'!$QAN:$QAQ,'Manoranjan, V. 11.25.'!$QKJ:$QKM,'Manoranjan, V. 11.25.'!$QUF:$QUI,'Manoranjan, V. 11.25.'!$REB:$REE,'Manoranjan, V. 11.25.'!$RNX:$ROA,'Manoranjan, V. 11.25.'!$RXT:$RXW,'Manoranjan, V. 11.25.'!$SHP:$SHS,'Manoranjan, V. 11.25.'!$SRL:$SRO,'Manoranjan, V. 11.25.'!$TBH:$TBK,'Manoranjan, V. 11.25.'!$TLD:$TLG,'Manoranjan, V. 11.25.'!$TUZ:$TVC,'Manoranjan, V. 11.25.'!$UEV:$UEY,'Manoranjan, V. 11.25.'!$UOR:$UOU,'Manoranjan, V. 11.25.'!$UYN:$UYQ,'Manoranjan, V. 11.25.'!$VIJ:$VIM,'Manoranjan, V. 11.25.'!$VSF:$VSI,'Manoranjan, V. 11.25.'!$WCB:$WCE,'Manoranjan, V. 11.25.'!$WLX:$WMA,'Manoranjan, V. 11.25.'!$WVT:$WVW</definedName>
    <definedName name="Z_38B7F0AC_1968_4179_B248_6144E152B72B_.wvu.Cols" localSheetId="13" hidden="1">'Max of Salary ex.'!$I:$L,'Max of Salary ex.'!$JD:$JG,'Max of Salary ex.'!$SZ:$TC,'Max of Salary ex.'!$ACV:$ACY,'Max of Salary ex.'!$AMR:$AMU,'Max of Salary ex.'!$AWN:$AWQ,'Max of Salary ex.'!$BGJ:$BGM,'Max of Salary ex.'!$BQF:$BQI,'Max of Salary ex.'!$CAB:$CAE,'Max of Salary ex.'!$CJX:$CKA,'Max of Salary ex.'!$CTT:$CTW,'Max of Salary ex.'!$DDP:$DDS,'Max of Salary ex.'!$DNL:$DNO,'Max of Salary ex.'!$DXH:$DXK,'Max of Salary ex.'!$EHD:$EHG,'Max of Salary ex.'!$EQZ:$ERC,'Max of Salary ex.'!$FAV:$FAY,'Max of Salary ex.'!$FKR:$FKU,'Max of Salary ex.'!$FUN:$FUQ,'Max of Salary ex.'!$GEJ:$GEM,'Max of Salary ex.'!$GOF:$GOI,'Max of Salary ex.'!$GYB:$GYE,'Max of Salary ex.'!$HHX:$HIA,'Max of Salary ex.'!$HRT:$HRW,'Max of Salary ex.'!$IBP:$IBS,'Max of Salary ex.'!$ILL:$ILO,'Max of Salary ex.'!$IVH:$IVK,'Max of Salary ex.'!$JFD:$JFG,'Max of Salary ex.'!$JOZ:$JPC,'Max of Salary ex.'!$JYV:$JYY,'Max of Salary ex.'!$KIR:$KIU,'Max of Salary ex.'!$KSN:$KSQ,'Max of Salary ex.'!$LCJ:$LCM,'Max of Salary ex.'!$LMF:$LMI,'Max of Salary ex.'!$LWB:$LWE,'Max of Salary ex.'!$MFX:$MGA,'Max of Salary ex.'!$MPT:$MPW,'Max of Salary ex.'!$MZP:$MZS,'Max of Salary ex.'!$NJL:$NJO,'Max of Salary ex.'!$NTH:$NTK,'Max of Salary ex.'!$ODD:$ODG,'Max of Salary ex.'!$OMZ:$ONC,'Max of Salary ex.'!$OWV:$OWY,'Max of Salary ex.'!$PGR:$PGU,'Max of Salary ex.'!$PQN:$PQQ,'Max of Salary ex.'!$QAJ:$QAM,'Max of Salary ex.'!$QKF:$QKI,'Max of Salary ex.'!$QUB:$QUE,'Max of Salary ex.'!$RDX:$REA,'Max of Salary ex.'!$RNT:$RNW,'Max of Salary ex.'!$RXP:$RXS,'Max of Salary ex.'!$SHL:$SHO,'Max of Salary ex.'!$SRH:$SRK,'Max of Salary ex.'!$TBD:$TBG,'Max of Salary ex.'!$TKZ:$TLC,'Max of Salary ex.'!$TUV:$TUY,'Max of Salary ex.'!$UER:$UEU,'Max of Salary ex.'!$UON:$UOQ,'Max of Salary ex.'!$UYJ:$UYM,'Max of Salary ex.'!$VIF:$VII,'Max of Salary ex.'!$VSB:$VSE,'Max of Salary ex.'!$WBX:$WCA,'Max of Salary ex.'!$WLT:$WLW,'Max of Salary ex.'!$WVP:$WVS</definedName>
    <definedName name="Z_38B7F0AC_1968_4179_B248_6144E152B72B_.wvu.Cols" localSheetId="14" hidden="1">'Max of Salary ex.  (2)'!$I:$L,'Max of Salary ex.  (2)'!$JD:$JG,'Max of Salary ex.  (2)'!$SZ:$TC,'Max of Salary ex.  (2)'!$ACV:$ACY,'Max of Salary ex.  (2)'!$AMR:$AMU,'Max of Salary ex.  (2)'!$AWN:$AWQ,'Max of Salary ex.  (2)'!$BGJ:$BGM,'Max of Salary ex.  (2)'!$BQF:$BQI,'Max of Salary ex.  (2)'!$CAB:$CAE,'Max of Salary ex.  (2)'!$CJX:$CKA,'Max of Salary ex.  (2)'!$CTT:$CTW,'Max of Salary ex.  (2)'!$DDP:$DDS,'Max of Salary ex.  (2)'!$DNL:$DNO,'Max of Salary ex.  (2)'!$DXH:$DXK,'Max of Salary ex.  (2)'!$EHD:$EHG,'Max of Salary ex.  (2)'!$EQZ:$ERC,'Max of Salary ex.  (2)'!$FAV:$FAY,'Max of Salary ex.  (2)'!$FKR:$FKU,'Max of Salary ex.  (2)'!$FUN:$FUQ,'Max of Salary ex.  (2)'!$GEJ:$GEM,'Max of Salary ex.  (2)'!$GOF:$GOI,'Max of Salary ex.  (2)'!$GYB:$GYE,'Max of Salary ex.  (2)'!$HHX:$HIA,'Max of Salary ex.  (2)'!$HRT:$HRW,'Max of Salary ex.  (2)'!$IBP:$IBS,'Max of Salary ex.  (2)'!$ILL:$ILO,'Max of Salary ex.  (2)'!$IVH:$IVK,'Max of Salary ex.  (2)'!$JFD:$JFG,'Max of Salary ex.  (2)'!$JOZ:$JPC,'Max of Salary ex.  (2)'!$JYV:$JYY,'Max of Salary ex.  (2)'!$KIR:$KIU,'Max of Salary ex.  (2)'!$KSN:$KSQ,'Max of Salary ex.  (2)'!$LCJ:$LCM,'Max of Salary ex.  (2)'!$LMF:$LMI,'Max of Salary ex.  (2)'!$LWB:$LWE,'Max of Salary ex.  (2)'!$MFX:$MGA,'Max of Salary ex.  (2)'!$MPT:$MPW,'Max of Salary ex.  (2)'!$MZP:$MZS,'Max of Salary ex.  (2)'!$NJL:$NJO,'Max of Salary ex.  (2)'!$NTH:$NTK,'Max of Salary ex.  (2)'!$ODD:$ODG,'Max of Salary ex.  (2)'!$OMZ:$ONC,'Max of Salary ex.  (2)'!$OWV:$OWY,'Max of Salary ex.  (2)'!$PGR:$PGU,'Max of Salary ex.  (2)'!$PQN:$PQQ,'Max of Salary ex.  (2)'!$QAJ:$QAM,'Max of Salary ex.  (2)'!$QKF:$QKI,'Max of Salary ex.  (2)'!$QUB:$QUE,'Max of Salary ex.  (2)'!$RDX:$REA,'Max of Salary ex.  (2)'!$RNT:$RNW,'Max of Salary ex.  (2)'!$RXP:$RXS,'Max of Salary ex.  (2)'!$SHL:$SHO,'Max of Salary ex.  (2)'!$SRH:$SRK,'Max of Salary ex.  (2)'!$TBD:$TBG,'Max of Salary ex.  (2)'!$TKZ:$TLC,'Max of Salary ex.  (2)'!$TUV:$TUY,'Max of Salary ex.  (2)'!$UER:$UEU,'Max of Salary ex.  (2)'!$UON:$UOQ,'Max of Salary ex.  (2)'!$UYJ:$UYM,'Max of Salary ex.  (2)'!$VIF:$VII,'Max of Salary ex.  (2)'!$VSB:$VSE,'Max of Salary ex.  (2)'!$WBX:$WCA,'Max of Salary ex.  (2)'!$WLT:$WLW,'Max of Salary ex.  (2)'!$WVP:$WVS</definedName>
    <definedName name="Z_38B7F0AC_1968_4179_B248_6144E152B72B_.wvu.Cols" localSheetId="15" hidden="1">'Max of Salary ex. 2'!$I:$L,'Max of Salary ex. 2'!$JE:$JH,'Max of Salary ex. 2'!$TA:$TD,'Max of Salary ex. 2'!$ACW:$ACZ,'Max of Salary ex. 2'!$AMS:$AMV,'Max of Salary ex. 2'!$AWO:$AWR,'Max of Salary ex. 2'!$BGK:$BGN,'Max of Salary ex. 2'!$BQG:$BQJ,'Max of Salary ex. 2'!$CAC:$CAF,'Max of Salary ex. 2'!$CJY:$CKB,'Max of Salary ex. 2'!$CTU:$CTX,'Max of Salary ex. 2'!$DDQ:$DDT,'Max of Salary ex. 2'!$DNM:$DNP,'Max of Salary ex. 2'!$DXI:$DXL,'Max of Salary ex. 2'!$EHE:$EHH,'Max of Salary ex. 2'!$ERA:$ERD,'Max of Salary ex. 2'!$FAW:$FAZ,'Max of Salary ex. 2'!$FKS:$FKV,'Max of Salary ex. 2'!$FUO:$FUR,'Max of Salary ex. 2'!$GEK:$GEN,'Max of Salary ex. 2'!$GOG:$GOJ,'Max of Salary ex. 2'!$GYC:$GYF,'Max of Salary ex. 2'!$HHY:$HIB,'Max of Salary ex. 2'!$HRU:$HRX,'Max of Salary ex. 2'!$IBQ:$IBT,'Max of Salary ex. 2'!$ILM:$ILP,'Max of Salary ex. 2'!$IVI:$IVL,'Max of Salary ex. 2'!$JFE:$JFH,'Max of Salary ex. 2'!$JPA:$JPD,'Max of Salary ex. 2'!$JYW:$JYZ,'Max of Salary ex. 2'!$KIS:$KIV,'Max of Salary ex. 2'!$KSO:$KSR,'Max of Salary ex. 2'!$LCK:$LCN,'Max of Salary ex. 2'!$LMG:$LMJ,'Max of Salary ex. 2'!$LWC:$LWF,'Max of Salary ex. 2'!$MFY:$MGB,'Max of Salary ex. 2'!$MPU:$MPX,'Max of Salary ex. 2'!$MZQ:$MZT,'Max of Salary ex. 2'!$NJM:$NJP,'Max of Salary ex. 2'!$NTI:$NTL,'Max of Salary ex. 2'!$ODE:$ODH,'Max of Salary ex. 2'!$ONA:$OND,'Max of Salary ex. 2'!$OWW:$OWZ,'Max of Salary ex. 2'!$PGS:$PGV,'Max of Salary ex. 2'!$PQO:$PQR,'Max of Salary ex. 2'!$QAK:$QAN,'Max of Salary ex. 2'!$QKG:$QKJ,'Max of Salary ex. 2'!$QUC:$QUF,'Max of Salary ex. 2'!$RDY:$REB,'Max of Salary ex. 2'!$RNU:$RNX,'Max of Salary ex. 2'!$RXQ:$RXT,'Max of Salary ex. 2'!$SHM:$SHP,'Max of Salary ex. 2'!$SRI:$SRL,'Max of Salary ex. 2'!$TBE:$TBH,'Max of Salary ex. 2'!$TLA:$TLD,'Max of Salary ex. 2'!$TUW:$TUZ,'Max of Salary ex. 2'!$UES:$UEV,'Max of Salary ex. 2'!$UOO:$UOR,'Max of Salary ex. 2'!$UYK:$UYN,'Max of Salary ex. 2'!$VIG:$VIJ,'Max of Salary ex. 2'!$VSC:$VSF,'Max of Salary ex. 2'!$WBY:$WCB,'Max of Salary ex. 2'!$WLU:$WLX,'Max of Salary ex. 2'!$WVQ:$WVT</definedName>
    <definedName name="Z_38B7F0AC_1968_4179_B248_6144E152B72B_.wvu.Cols" localSheetId="16" hidden="1">'Max of Salary ex. 2.'!$I:$L,'Max of Salary ex. 2.'!$JE:$JH,'Max of Salary ex. 2.'!$TA:$TD,'Max of Salary ex. 2.'!$ACW:$ACZ,'Max of Salary ex. 2.'!$AMS:$AMV,'Max of Salary ex. 2.'!$AWO:$AWR,'Max of Salary ex. 2.'!$BGK:$BGN,'Max of Salary ex. 2.'!$BQG:$BQJ,'Max of Salary ex. 2.'!$CAC:$CAF,'Max of Salary ex. 2.'!$CJY:$CKB,'Max of Salary ex. 2.'!$CTU:$CTX,'Max of Salary ex. 2.'!$DDQ:$DDT,'Max of Salary ex. 2.'!$DNM:$DNP,'Max of Salary ex. 2.'!$DXI:$DXL,'Max of Salary ex. 2.'!$EHE:$EHH,'Max of Salary ex. 2.'!$ERA:$ERD,'Max of Salary ex. 2.'!$FAW:$FAZ,'Max of Salary ex. 2.'!$FKS:$FKV,'Max of Salary ex. 2.'!$FUO:$FUR,'Max of Salary ex. 2.'!$GEK:$GEN,'Max of Salary ex. 2.'!$GOG:$GOJ,'Max of Salary ex. 2.'!$GYC:$GYF,'Max of Salary ex. 2.'!$HHY:$HIB,'Max of Salary ex. 2.'!$HRU:$HRX,'Max of Salary ex. 2.'!$IBQ:$IBT,'Max of Salary ex. 2.'!$ILM:$ILP,'Max of Salary ex. 2.'!$IVI:$IVL,'Max of Salary ex. 2.'!$JFE:$JFH,'Max of Salary ex. 2.'!$JPA:$JPD,'Max of Salary ex. 2.'!$JYW:$JYZ,'Max of Salary ex. 2.'!$KIS:$KIV,'Max of Salary ex. 2.'!$KSO:$KSR,'Max of Salary ex. 2.'!$LCK:$LCN,'Max of Salary ex. 2.'!$LMG:$LMJ,'Max of Salary ex. 2.'!$LWC:$LWF,'Max of Salary ex. 2.'!$MFY:$MGB,'Max of Salary ex. 2.'!$MPU:$MPX,'Max of Salary ex. 2.'!$MZQ:$MZT,'Max of Salary ex. 2.'!$NJM:$NJP,'Max of Salary ex. 2.'!$NTI:$NTL,'Max of Salary ex. 2.'!$ODE:$ODH,'Max of Salary ex. 2.'!$ONA:$OND,'Max of Salary ex. 2.'!$OWW:$OWZ,'Max of Salary ex. 2.'!$PGS:$PGV,'Max of Salary ex. 2.'!$PQO:$PQR,'Max of Salary ex. 2.'!$QAK:$QAN,'Max of Salary ex. 2.'!$QKG:$QKJ,'Max of Salary ex. 2.'!$QUC:$QUF,'Max of Salary ex. 2.'!$RDY:$REB,'Max of Salary ex. 2.'!$RNU:$RNX,'Max of Salary ex. 2.'!$RXQ:$RXT,'Max of Salary ex. 2.'!$SHM:$SHP,'Max of Salary ex. 2.'!$SRI:$SRL,'Max of Salary ex. 2.'!$TBE:$TBH,'Max of Salary ex. 2.'!$TLA:$TLD,'Max of Salary ex. 2.'!$TUW:$TUZ,'Max of Salary ex. 2.'!$UES:$UEV,'Max of Salary ex. 2.'!$UOO:$UOR,'Max of Salary ex. 2.'!$UYK:$UYN,'Max of Salary ex. 2.'!$VIG:$VIJ,'Max of Salary ex. 2.'!$VSC:$VSF,'Max of Salary ex. 2.'!$WBY:$WCB,'Max of Salary ex. 2.'!$WLU:$WLX,'Max of Salary ex. 2.'!$WVQ:$WVT</definedName>
    <definedName name="Z_38B7F0AC_1968_4179_B248_6144E152B72B_.wvu.Cols" localSheetId="17" hidden="1">'McClusky 11.25.'!#REF!,'McClusky 11.25.'!$JD:$JG,'McClusky 11.25.'!$SZ:$TC,'McClusky 11.25.'!$ACV:$ACY,'McClusky 11.25.'!$AMR:$AMU,'McClusky 11.25.'!$AWN:$AWQ,'McClusky 11.25.'!$BGJ:$BGM,'McClusky 11.25.'!$BQF:$BQI,'McClusky 11.25.'!$CAB:$CAE,'McClusky 11.25.'!$CJX:$CKA,'McClusky 11.25.'!$CTT:$CTW,'McClusky 11.25.'!$DDP:$DDS,'McClusky 11.25.'!$DNL:$DNO,'McClusky 11.25.'!$DXH:$DXK,'McClusky 11.25.'!$EHD:$EHG,'McClusky 11.25.'!$EQZ:$ERC,'McClusky 11.25.'!$FAV:$FAY,'McClusky 11.25.'!$FKR:$FKU,'McClusky 11.25.'!$FUN:$FUQ,'McClusky 11.25.'!$GEJ:$GEM,'McClusky 11.25.'!$GOF:$GOI,'McClusky 11.25.'!$GYB:$GYE,'McClusky 11.25.'!$HHX:$HIA,'McClusky 11.25.'!$HRT:$HRW,'McClusky 11.25.'!$IBP:$IBS,'McClusky 11.25.'!$ILL:$ILO,'McClusky 11.25.'!$IVH:$IVK,'McClusky 11.25.'!$JFD:$JFG,'McClusky 11.25.'!$JOZ:$JPC,'McClusky 11.25.'!$JYV:$JYY,'McClusky 11.25.'!$KIR:$KIU,'McClusky 11.25.'!$KSN:$KSQ,'McClusky 11.25.'!$LCJ:$LCM,'McClusky 11.25.'!$LMF:$LMI,'McClusky 11.25.'!$LWB:$LWE,'McClusky 11.25.'!$MFX:$MGA,'McClusky 11.25.'!$MPT:$MPW,'McClusky 11.25.'!$MZP:$MZS,'McClusky 11.25.'!$NJL:$NJO,'McClusky 11.25.'!$NTH:$NTK,'McClusky 11.25.'!$ODD:$ODG,'McClusky 11.25.'!$OMZ:$ONC,'McClusky 11.25.'!$OWV:$OWY,'McClusky 11.25.'!$PGR:$PGU,'McClusky 11.25.'!$PQN:$PQQ,'McClusky 11.25.'!$QAJ:$QAM,'McClusky 11.25.'!$QKF:$QKI,'McClusky 11.25.'!$QUB:$QUE,'McClusky 11.25.'!$RDX:$REA,'McClusky 11.25.'!$RNT:$RNW,'McClusky 11.25.'!$RXP:$RXS,'McClusky 11.25.'!$SHL:$SHO,'McClusky 11.25.'!$SRH:$SRK,'McClusky 11.25.'!$TBD:$TBG,'McClusky 11.25.'!$TKZ:$TLC,'McClusky 11.25.'!$TUV:$TUY,'McClusky 11.25.'!$UER:$UEU,'McClusky 11.25.'!$UON:$UOQ,'McClusky 11.25.'!$UYJ:$UYM,'McClusky 11.25.'!$VIF:$VII,'McClusky 11.25.'!$VSB:$VSE,'McClusky 11.25.'!$WBX:$WCA,'McClusky 11.25.'!$WLT:$WLW,'McClusky 11.25.'!$WVP:$WVS</definedName>
    <definedName name="Z_38B7F0AC_1968_4179_B248_6144E152B72B_.wvu.Cols" localSheetId="18" hidden="1">'McDonald (2)'!$K:$N,'McDonald (2)'!$JG:$JJ,'McDonald (2)'!$TC:$TF,'McDonald (2)'!$ACY:$ADB,'McDonald (2)'!$AMU:$AMX,'McDonald (2)'!$AWQ:$AWT,'McDonald (2)'!$BGM:$BGP,'McDonald (2)'!$BQI:$BQL,'McDonald (2)'!$CAE:$CAH,'McDonald (2)'!$CKA:$CKD,'McDonald (2)'!$CTW:$CTZ,'McDonald (2)'!$DDS:$DDV,'McDonald (2)'!$DNO:$DNR,'McDonald (2)'!$DXK:$DXN,'McDonald (2)'!$EHG:$EHJ,'McDonald (2)'!$ERC:$ERF,'McDonald (2)'!$FAY:$FBB,'McDonald (2)'!$FKU:$FKX,'McDonald (2)'!$FUQ:$FUT,'McDonald (2)'!$GEM:$GEP,'McDonald (2)'!$GOI:$GOL,'McDonald (2)'!$GYE:$GYH,'McDonald (2)'!$HIA:$HID,'McDonald (2)'!$HRW:$HRZ,'McDonald (2)'!$IBS:$IBV,'McDonald (2)'!$ILO:$ILR,'McDonald (2)'!$IVK:$IVN,'McDonald (2)'!$JFG:$JFJ,'McDonald (2)'!$JPC:$JPF,'McDonald (2)'!$JYY:$JZB,'McDonald (2)'!$KIU:$KIX,'McDonald (2)'!$KSQ:$KST,'McDonald (2)'!$LCM:$LCP,'McDonald (2)'!$LMI:$LML,'McDonald (2)'!$LWE:$LWH,'McDonald (2)'!$MGA:$MGD,'McDonald (2)'!$MPW:$MPZ,'McDonald (2)'!$MZS:$MZV,'McDonald (2)'!$NJO:$NJR,'McDonald (2)'!$NTK:$NTN,'McDonald (2)'!$ODG:$ODJ,'McDonald (2)'!$ONC:$ONF,'McDonald (2)'!$OWY:$OXB,'McDonald (2)'!$PGU:$PGX,'McDonald (2)'!$PQQ:$PQT,'McDonald (2)'!$QAM:$QAP,'McDonald (2)'!$QKI:$QKL,'McDonald (2)'!$QUE:$QUH,'McDonald (2)'!$REA:$RED,'McDonald (2)'!$RNW:$RNZ,'McDonald (2)'!$RXS:$RXV,'McDonald (2)'!$SHO:$SHR,'McDonald (2)'!$SRK:$SRN,'McDonald (2)'!$TBG:$TBJ,'McDonald (2)'!$TLC:$TLF,'McDonald (2)'!$TUY:$TVB,'McDonald (2)'!$UEU:$UEX,'McDonald (2)'!$UOQ:$UOT,'McDonald (2)'!$UYM:$UYP,'McDonald (2)'!$VII:$VIL,'McDonald (2)'!$VSE:$VSH,'McDonald (2)'!$WCA:$WCD,'McDonald (2)'!$WLW:$WLZ,'McDonald (2)'!$WVS:$WVV</definedName>
    <definedName name="Z_38B7F0AC_1968_4179_B248_6144E152B72B_.wvu.Cols" localSheetId="19" hidden="1">Netzhammer!$K:$N,Netzhammer!$JG:$JJ,Netzhammer!$TC:$TF,Netzhammer!$ACY:$ADB,Netzhammer!$AMU:$AMX,Netzhammer!$AWQ:$AWT,Netzhammer!$BGM:$BGP,Netzhammer!$BQI:$BQL,Netzhammer!$CAE:$CAH,Netzhammer!$CKA:$CKD,Netzhammer!$CTW:$CTZ,Netzhammer!$DDS:$DDV,Netzhammer!$DNO:$DNR,Netzhammer!$DXK:$DXN,Netzhammer!$EHG:$EHJ,Netzhammer!$ERC:$ERF,Netzhammer!$FAY:$FBB,Netzhammer!$FKU:$FKX,Netzhammer!$FUQ:$FUT,Netzhammer!$GEM:$GEP,Netzhammer!$GOI:$GOL,Netzhammer!$GYE:$GYH,Netzhammer!$HIA:$HID,Netzhammer!$HRW:$HRZ,Netzhammer!$IBS:$IBV,Netzhammer!$ILO:$ILR,Netzhammer!$IVK:$IVN,Netzhammer!$JFG:$JFJ,Netzhammer!$JPC:$JPF,Netzhammer!$JYY:$JZB,Netzhammer!$KIU:$KIX,Netzhammer!$KSQ:$KST,Netzhammer!$LCM:$LCP,Netzhammer!$LMI:$LML,Netzhammer!$LWE:$LWH,Netzhammer!$MGA:$MGD,Netzhammer!$MPW:$MPZ,Netzhammer!$MZS:$MZV,Netzhammer!$NJO:$NJR,Netzhammer!$NTK:$NTN,Netzhammer!$ODG:$ODJ,Netzhammer!$ONC:$ONF,Netzhammer!$OWY:$OXB,Netzhammer!$PGU:$PGX,Netzhammer!$PQQ:$PQT,Netzhammer!$QAM:$QAP,Netzhammer!$QKI:$QKL,Netzhammer!$QUE:$QUH,Netzhammer!$REA:$RED,Netzhammer!$RNW:$RNZ,Netzhammer!$RXS:$RXV,Netzhammer!$SHO:$SHR,Netzhammer!$SRK:$SRN,Netzhammer!$TBG:$TBJ,Netzhammer!$TLC:$TLF,Netzhammer!$TUY:$TVB,Netzhammer!$UEU:$UEX,Netzhammer!$UOQ:$UOT,Netzhammer!$UYM:$UYP,Netzhammer!$VII:$VIL,Netzhammer!$VSE:$VSH,Netzhammer!$WCA:$WCD,Netzhammer!$WLW:$WLZ,Netzhammer!$WVS:$WVV</definedName>
    <definedName name="Z_38B7F0AC_1968_4179_B248_6144E152B72B_.wvu.Cols" localSheetId="21" hidden="1">'Sanders 12.10 (SK)'!#REF!,'Sanders 12.10 (SK)'!$JD:$JG,'Sanders 12.10 (SK)'!$SZ:$TC,'Sanders 12.10 (SK)'!$ACV:$ACY,'Sanders 12.10 (SK)'!$AMR:$AMU,'Sanders 12.10 (SK)'!$AWN:$AWQ,'Sanders 12.10 (SK)'!$BGJ:$BGM,'Sanders 12.10 (SK)'!$BQF:$BQI,'Sanders 12.10 (SK)'!$CAB:$CAE,'Sanders 12.10 (SK)'!$CJX:$CKA,'Sanders 12.10 (SK)'!$CTT:$CTW,'Sanders 12.10 (SK)'!$DDP:$DDS,'Sanders 12.10 (SK)'!$DNL:$DNO,'Sanders 12.10 (SK)'!$DXH:$DXK,'Sanders 12.10 (SK)'!$EHD:$EHG,'Sanders 12.10 (SK)'!$EQZ:$ERC,'Sanders 12.10 (SK)'!$FAV:$FAY,'Sanders 12.10 (SK)'!$FKR:$FKU,'Sanders 12.10 (SK)'!$FUN:$FUQ,'Sanders 12.10 (SK)'!$GEJ:$GEM,'Sanders 12.10 (SK)'!$GOF:$GOI,'Sanders 12.10 (SK)'!$GYB:$GYE,'Sanders 12.10 (SK)'!$HHX:$HIA,'Sanders 12.10 (SK)'!$HRT:$HRW,'Sanders 12.10 (SK)'!$IBP:$IBS,'Sanders 12.10 (SK)'!$ILL:$ILO,'Sanders 12.10 (SK)'!$IVH:$IVK,'Sanders 12.10 (SK)'!$JFD:$JFG,'Sanders 12.10 (SK)'!$JOZ:$JPC,'Sanders 12.10 (SK)'!$JYV:$JYY,'Sanders 12.10 (SK)'!$KIR:$KIU,'Sanders 12.10 (SK)'!$KSN:$KSQ,'Sanders 12.10 (SK)'!$LCJ:$LCM,'Sanders 12.10 (SK)'!$LMF:$LMI,'Sanders 12.10 (SK)'!$LWB:$LWE,'Sanders 12.10 (SK)'!$MFX:$MGA,'Sanders 12.10 (SK)'!$MPT:$MPW,'Sanders 12.10 (SK)'!$MZP:$MZS,'Sanders 12.10 (SK)'!$NJL:$NJO,'Sanders 12.10 (SK)'!$NTH:$NTK,'Sanders 12.10 (SK)'!$ODD:$ODG,'Sanders 12.10 (SK)'!$OMZ:$ONC,'Sanders 12.10 (SK)'!$OWV:$OWY,'Sanders 12.10 (SK)'!$PGR:$PGU,'Sanders 12.10 (SK)'!$PQN:$PQQ,'Sanders 12.10 (SK)'!$QAJ:$QAM,'Sanders 12.10 (SK)'!$QKF:$QKI,'Sanders 12.10 (SK)'!$QUB:$QUE,'Sanders 12.10 (SK)'!$RDX:$REA,'Sanders 12.10 (SK)'!$RNT:$RNW,'Sanders 12.10 (SK)'!$RXP:$RXS,'Sanders 12.10 (SK)'!$SHL:$SHO,'Sanders 12.10 (SK)'!$SRH:$SRK,'Sanders 12.10 (SK)'!$TBD:$TBG,'Sanders 12.10 (SK)'!$TKZ:$TLC,'Sanders 12.10 (SK)'!$TUV:$TUY,'Sanders 12.10 (SK)'!$UER:$UEU,'Sanders 12.10 (SK)'!$UON:$UOQ,'Sanders 12.10 (SK)'!$UYJ:$UYM,'Sanders 12.10 (SK)'!$VIF:$VII,'Sanders 12.10 (SK)'!$VSB:$VSE,'Sanders 12.10 (SK)'!$WBX:$WCA,'Sanders 12.10 (SK)'!$WLT:$WLW,'Sanders 12.10 (SK)'!$WVP:$WVS</definedName>
    <definedName name="Z_38B7F0AC_1968_4179_B248_6144E152B72B_.wvu.Cols" localSheetId="22" hidden="1">'Schulz, N'!$K:$N,'Schulz, N'!$JG:$JJ,'Schulz, N'!$TC:$TF,'Schulz, N'!$ACY:$ADB,'Schulz, N'!$AMU:$AMX,'Schulz, N'!$AWQ:$AWT,'Schulz, N'!$BGM:$BGP,'Schulz, N'!$BQI:$BQL,'Schulz, N'!$CAE:$CAH,'Schulz, N'!$CKA:$CKD,'Schulz, N'!$CTW:$CTZ,'Schulz, N'!$DDS:$DDV,'Schulz, N'!$DNO:$DNR,'Schulz, N'!$DXK:$DXN,'Schulz, N'!$EHG:$EHJ,'Schulz, N'!$ERC:$ERF,'Schulz, N'!$FAY:$FBB,'Schulz, N'!$FKU:$FKX,'Schulz, N'!$FUQ:$FUT,'Schulz, N'!$GEM:$GEP,'Schulz, N'!$GOI:$GOL,'Schulz, N'!$GYE:$GYH,'Schulz, N'!$HIA:$HID,'Schulz, N'!$HRW:$HRZ,'Schulz, N'!$IBS:$IBV,'Schulz, N'!$ILO:$ILR,'Schulz, N'!$IVK:$IVN,'Schulz, N'!$JFG:$JFJ,'Schulz, N'!$JPC:$JPF,'Schulz, N'!$JYY:$JZB,'Schulz, N'!$KIU:$KIX,'Schulz, N'!$KSQ:$KST,'Schulz, N'!$LCM:$LCP,'Schulz, N'!$LMI:$LML,'Schulz, N'!$LWE:$LWH,'Schulz, N'!$MGA:$MGD,'Schulz, N'!$MPW:$MPZ,'Schulz, N'!$MZS:$MZV,'Schulz, N'!$NJO:$NJR,'Schulz, N'!$NTK:$NTN,'Schulz, N'!$ODG:$ODJ,'Schulz, N'!$ONC:$ONF,'Schulz, N'!$OWY:$OXB,'Schulz, N'!$PGU:$PGX,'Schulz, N'!$PQQ:$PQT,'Schulz, N'!$QAM:$QAP,'Schulz, N'!$QKI:$QKL,'Schulz, N'!$QUE:$QUH,'Schulz, N'!$REA:$RED,'Schulz, N'!$RNW:$RNZ,'Schulz, N'!$RXS:$RXV,'Schulz, N'!$SHO:$SHR,'Schulz, N'!$SRK:$SRN,'Schulz, N'!$TBG:$TBJ,'Schulz, N'!$TLC:$TLF,'Schulz, N'!$TUY:$TVB,'Schulz, N'!$UEU:$UEX,'Schulz, N'!$UOQ:$UOT,'Schulz, N'!$UYM:$UYP,'Schulz, N'!$VII:$VIL,'Schulz, N'!$VSE:$VSH,'Schulz, N'!$WCA:$WCD,'Schulz, N'!$WLW:$WLZ,'Schulz, N'!$WVS:$WVV</definedName>
    <definedName name="Z_38B7F0AC_1968_4179_B248_6144E152B72B_.wvu.Cols" localSheetId="23" hidden="1">'Smith, Lloyd 11.25.'!#REF!,'Smith, Lloyd 11.25.'!$JD:$JG,'Smith, Lloyd 11.25.'!$SZ:$TC,'Smith, Lloyd 11.25.'!$ACV:$ACY,'Smith, Lloyd 11.25.'!$AMR:$AMU,'Smith, Lloyd 11.25.'!$AWN:$AWQ,'Smith, Lloyd 11.25.'!$BGJ:$BGM,'Smith, Lloyd 11.25.'!$BQF:$BQI,'Smith, Lloyd 11.25.'!$CAB:$CAE,'Smith, Lloyd 11.25.'!$CJX:$CKA,'Smith, Lloyd 11.25.'!$CTT:$CTW,'Smith, Lloyd 11.25.'!$DDP:$DDS,'Smith, Lloyd 11.25.'!$DNL:$DNO,'Smith, Lloyd 11.25.'!$DXH:$DXK,'Smith, Lloyd 11.25.'!$EHD:$EHG,'Smith, Lloyd 11.25.'!$EQZ:$ERC,'Smith, Lloyd 11.25.'!$FAV:$FAY,'Smith, Lloyd 11.25.'!$FKR:$FKU,'Smith, Lloyd 11.25.'!$FUN:$FUQ,'Smith, Lloyd 11.25.'!$GEJ:$GEM,'Smith, Lloyd 11.25.'!$GOF:$GOI,'Smith, Lloyd 11.25.'!$GYB:$GYE,'Smith, Lloyd 11.25.'!$HHX:$HIA,'Smith, Lloyd 11.25.'!$HRT:$HRW,'Smith, Lloyd 11.25.'!$IBP:$IBS,'Smith, Lloyd 11.25.'!$ILL:$ILO,'Smith, Lloyd 11.25.'!$IVH:$IVK,'Smith, Lloyd 11.25.'!$JFD:$JFG,'Smith, Lloyd 11.25.'!$JOZ:$JPC,'Smith, Lloyd 11.25.'!$JYV:$JYY,'Smith, Lloyd 11.25.'!$KIR:$KIU,'Smith, Lloyd 11.25.'!$KSN:$KSQ,'Smith, Lloyd 11.25.'!$LCJ:$LCM,'Smith, Lloyd 11.25.'!$LMF:$LMI,'Smith, Lloyd 11.25.'!$LWB:$LWE,'Smith, Lloyd 11.25.'!$MFX:$MGA,'Smith, Lloyd 11.25.'!$MPT:$MPW,'Smith, Lloyd 11.25.'!$MZP:$MZS,'Smith, Lloyd 11.25.'!$NJL:$NJO,'Smith, Lloyd 11.25.'!$NTH:$NTK,'Smith, Lloyd 11.25.'!$ODD:$ODG,'Smith, Lloyd 11.25.'!$OMZ:$ONC,'Smith, Lloyd 11.25.'!$OWV:$OWY,'Smith, Lloyd 11.25.'!$PGR:$PGU,'Smith, Lloyd 11.25.'!$PQN:$PQQ,'Smith, Lloyd 11.25.'!$QAJ:$QAM,'Smith, Lloyd 11.25.'!$QKF:$QKI,'Smith, Lloyd 11.25.'!$QUB:$QUE,'Smith, Lloyd 11.25.'!$RDX:$REA,'Smith, Lloyd 11.25.'!$RNT:$RNW,'Smith, Lloyd 11.25.'!$RXP:$RXS,'Smith, Lloyd 11.25.'!$SHL:$SHO,'Smith, Lloyd 11.25.'!$SRH:$SRK,'Smith, Lloyd 11.25.'!$TBD:$TBG,'Smith, Lloyd 11.25.'!$TKZ:$TLC,'Smith, Lloyd 11.25.'!$TUV:$TUY,'Smith, Lloyd 11.25.'!$UER:$UEU,'Smith, Lloyd 11.25.'!$UON:$UOQ,'Smith, Lloyd 11.25.'!$UYJ:$UYM,'Smith, Lloyd 11.25.'!$VIF:$VII,'Smith, Lloyd 11.25.'!$VSB:$VSE,'Smith, Lloyd 11.25.'!$WBX:$WCA,'Smith, Lloyd 11.25.'!$WLT:$WLW,'Smith, Lloyd 11.25.'!$WVP:$WVS</definedName>
    <definedName name="Z_38B7F0AC_1968_4179_B248_6144E152B72B_.wvu.Cols" localSheetId="24" hidden="1">Thomas!#REF!,Thomas!$JD:$JG,Thomas!$SZ:$TC,Thomas!$ACV:$ACY,Thomas!$AMR:$AMU,Thomas!$AWN:$AWQ,Thomas!$BGJ:$BGM,Thomas!$BQF:$BQI,Thomas!$CAB:$CAE,Thomas!$CJX:$CKA,Thomas!$CTT:$CTW,Thomas!$DDP:$DDS,Thomas!$DNL:$DNO,Thomas!$DXH:$DXK,Thomas!$EHD:$EHG,Thomas!$EQZ:$ERC,Thomas!$FAV:$FAY,Thomas!$FKR:$FKU,Thomas!$FUN:$FUQ,Thomas!$GEJ:$GEM,Thomas!$GOF:$GOI,Thomas!$GYB:$GYE,Thomas!$HHX:$HIA,Thomas!$HRT:$HRW,Thomas!$IBP:$IBS,Thomas!$ILL:$ILO,Thomas!$IVH:$IVK,Thomas!$JFD:$JFG,Thomas!$JOZ:$JPC,Thomas!$JYV:$JYY,Thomas!$KIR:$KIU,Thomas!$KSN:$KSQ,Thomas!$LCJ:$LCM,Thomas!$LMF:$LMI,Thomas!$LWB:$LWE,Thomas!$MFX:$MGA,Thomas!$MPT:$MPW,Thomas!$MZP:$MZS,Thomas!$NJL:$NJO,Thomas!$NTH:$NTK,Thomas!$ODD:$ODG,Thomas!$OMZ:$ONC,Thomas!$OWV:$OWY,Thomas!$PGR:$PGU,Thomas!$PQN:$PQQ,Thomas!$QAJ:$QAM,Thomas!$QKF:$QKI,Thomas!$QUB:$QUE,Thomas!$RDX:$REA,Thomas!$RNT:$RNW,Thomas!$RXP:$RXS,Thomas!$SHL:$SHO,Thomas!$SRH:$SRK,Thomas!$TBD:$TBG,Thomas!$TKZ:$TLC,Thomas!$TUV:$TUY,Thomas!$UER:$UEU,Thomas!$UON:$UOQ,Thomas!$UYJ:$UYM,Thomas!$VIF:$VII,Thomas!$VSB:$VSE,Thomas!$WBX:$WCA,Thomas!$WLT:$WLW,Thomas!$WVP:$WVS</definedName>
    <definedName name="Z_38B7F0AC_1968_4179_B248_6144E152B72B_.wvu.Cols" localSheetId="25" hidden="1">'Wilkins-Fontenor 11.25.1'!#REF!,'Wilkins-Fontenor 11.25.1'!$JD:$JG,'Wilkins-Fontenor 11.25.1'!$SZ:$TC,'Wilkins-Fontenor 11.25.1'!$ACV:$ACY,'Wilkins-Fontenor 11.25.1'!$AMR:$AMU,'Wilkins-Fontenor 11.25.1'!$AWN:$AWQ,'Wilkins-Fontenor 11.25.1'!$BGJ:$BGM,'Wilkins-Fontenor 11.25.1'!$BQF:$BQI,'Wilkins-Fontenor 11.25.1'!$CAB:$CAE,'Wilkins-Fontenor 11.25.1'!$CJX:$CKA,'Wilkins-Fontenor 11.25.1'!$CTT:$CTW,'Wilkins-Fontenor 11.25.1'!$DDP:$DDS,'Wilkins-Fontenor 11.25.1'!$DNL:$DNO,'Wilkins-Fontenor 11.25.1'!$DXH:$DXK,'Wilkins-Fontenor 11.25.1'!$EHD:$EHG,'Wilkins-Fontenor 11.25.1'!$EQZ:$ERC,'Wilkins-Fontenor 11.25.1'!$FAV:$FAY,'Wilkins-Fontenor 11.25.1'!$FKR:$FKU,'Wilkins-Fontenor 11.25.1'!$FUN:$FUQ,'Wilkins-Fontenor 11.25.1'!$GEJ:$GEM,'Wilkins-Fontenor 11.25.1'!$GOF:$GOI,'Wilkins-Fontenor 11.25.1'!$GYB:$GYE,'Wilkins-Fontenor 11.25.1'!$HHX:$HIA,'Wilkins-Fontenor 11.25.1'!$HRT:$HRW,'Wilkins-Fontenor 11.25.1'!$IBP:$IBS,'Wilkins-Fontenor 11.25.1'!$ILL:$ILO,'Wilkins-Fontenor 11.25.1'!$IVH:$IVK,'Wilkins-Fontenor 11.25.1'!$JFD:$JFG,'Wilkins-Fontenor 11.25.1'!$JOZ:$JPC,'Wilkins-Fontenor 11.25.1'!$JYV:$JYY,'Wilkins-Fontenor 11.25.1'!$KIR:$KIU,'Wilkins-Fontenor 11.25.1'!$KSN:$KSQ,'Wilkins-Fontenor 11.25.1'!$LCJ:$LCM,'Wilkins-Fontenor 11.25.1'!$LMF:$LMI,'Wilkins-Fontenor 11.25.1'!$LWB:$LWE,'Wilkins-Fontenor 11.25.1'!$MFX:$MGA,'Wilkins-Fontenor 11.25.1'!$MPT:$MPW,'Wilkins-Fontenor 11.25.1'!$MZP:$MZS,'Wilkins-Fontenor 11.25.1'!$NJL:$NJO,'Wilkins-Fontenor 11.25.1'!$NTH:$NTK,'Wilkins-Fontenor 11.25.1'!$ODD:$ODG,'Wilkins-Fontenor 11.25.1'!$OMZ:$ONC,'Wilkins-Fontenor 11.25.1'!$OWV:$OWY,'Wilkins-Fontenor 11.25.1'!$PGR:$PGU,'Wilkins-Fontenor 11.25.1'!$PQN:$PQQ,'Wilkins-Fontenor 11.25.1'!$QAJ:$QAM,'Wilkins-Fontenor 11.25.1'!$QKF:$QKI,'Wilkins-Fontenor 11.25.1'!$QUB:$QUE,'Wilkins-Fontenor 11.25.1'!$RDX:$REA,'Wilkins-Fontenor 11.25.1'!$RNT:$RNW,'Wilkins-Fontenor 11.25.1'!$RXP:$RXS,'Wilkins-Fontenor 11.25.1'!$SHL:$SHO,'Wilkins-Fontenor 11.25.1'!$SRH:$SRK,'Wilkins-Fontenor 11.25.1'!$TBD:$TBG,'Wilkins-Fontenor 11.25.1'!$TKZ:$TLC,'Wilkins-Fontenor 11.25.1'!$TUV:$TUY,'Wilkins-Fontenor 11.25.1'!$UER:$UEU,'Wilkins-Fontenor 11.25.1'!$UON:$UOQ,'Wilkins-Fontenor 11.25.1'!$UYJ:$UYM,'Wilkins-Fontenor 11.25.1'!$VIF:$VII,'Wilkins-Fontenor 11.25.1'!$VSB:$VSE,'Wilkins-Fontenor 11.25.1'!$WBX:$WCA,'Wilkins-Fontenor 11.25.1'!$WLT:$WLW,'Wilkins-Fontenor 11.25.1'!$WVP:$WVS</definedName>
    <definedName name="Z_B51D5B49_D308_4214_86D8_9F7F021478DE_.wvu.Cols" localSheetId="13" hidden="1">'Max of Salary ex.'!$I:$L,'Max of Salary ex.'!$JD:$JG,'Max of Salary ex.'!$SZ:$TC,'Max of Salary ex.'!$ACV:$ACY,'Max of Salary ex.'!$AMR:$AMU,'Max of Salary ex.'!$AWN:$AWQ,'Max of Salary ex.'!$BGJ:$BGM,'Max of Salary ex.'!$BQF:$BQI,'Max of Salary ex.'!$CAB:$CAE,'Max of Salary ex.'!$CJX:$CKA,'Max of Salary ex.'!$CTT:$CTW,'Max of Salary ex.'!$DDP:$DDS,'Max of Salary ex.'!$DNL:$DNO,'Max of Salary ex.'!$DXH:$DXK,'Max of Salary ex.'!$EHD:$EHG,'Max of Salary ex.'!$EQZ:$ERC,'Max of Salary ex.'!$FAV:$FAY,'Max of Salary ex.'!$FKR:$FKU,'Max of Salary ex.'!$FUN:$FUQ,'Max of Salary ex.'!$GEJ:$GEM,'Max of Salary ex.'!$GOF:$GOI,'Max of Salary ex.'!$GYB:$GYE,'Max of Salary ex.'!$HHX:$HIA,'Max of Salary ex.'!$HRT:$HRW,'Max of Salary ex.'!$IBP:$IBS,'Max of Salary ex.'!$ILL:$ILO,'Max of Salary ex.'!$IVH:$IVK,'Max of Salary ex.'!$JFD:$JFG,'Max of Salary ex.'!$JOZ:$JPC,'Max of Salary ex.'!$JYV:$JYY,'Max of Salary ex.'!$KIR:$KIU,'Max of Salary ex.'!$KSN:$KSQ,'Max of Salary ex.'!$LCJ:$LCM,'Max of Salary ex.'!$LMF:$LMI,'Max of Salary ex.'!$LWB:$LWE,'Max of Salary ex.'!$MFX:$MGA,'Max of Salary ex.'!$MPT:$MPW,'Max of Salary ex.'!$MZP:$MZS,'Max of Salary ex.'!$NJL:$NJO,'Max of Salary ex.'!$NTH:$NTK,'Max of Salary ex.'!$ODD:$ODG,'Max of Salary ex.'!$OMZ:$ONC,'Max of Salary ex.'!$OWV:$OWY,'Max of Salary ex.'!$PGR:$PGU,'Max of Salary ex.'!$PQN:$PQQ,'Max of Salary ex.'!$QAJ:$QAM,'Max of Salary ex.'!$QKF:$QKI,'Max of Salary ex.'!$QUB:$QUE,'Max of Salary ex.'!$RDX:$REA,'Max of Salary ex.'!$RNT:$RNW,'Max of Salary ex.'!$RXP:$RXS,'Max of Salary ex.'!$SHL:$SHO,'Max of Salary ex.'!$SRH:$SRK,'Max of Salary ex.'!$TBD:$TBG,'Max of Salary ex.'!$TKZ:$TLC,'Max of Salary ex.'!$TUV:$TUY,'Max of Salary ex.'!$UER:$UEU,'Max of Salary ex.'!$UON:$UOQ,'Max of Salary ex.'!$UYJ:$UYM,'Max of Salary ex.'!$VIF:$VII,'Max of Salary ex.'!$VSB:$VSE,'Max of Salary ex.'!$WBX:$WCA,'Max of Salary ex.'!$WLT:$WLW,'Max of Salary ex.'!$WVP:$WVS</definedName>
    <definedName name="Z_B51D5B49_D308_4214_86D8_9F7F021478DE_.wvu.Cols" localSheetId="14" hidden="1">'Max of Salary ex.  (2)'!$I:$L,'Max of Salary ex.  (2)'!$JD:$JG,'Max of Salary ex.  (2)'!$SZ:$TC,'Max of Salary ex.  (2)'!$ACV:$ACY,'Max of Salary ex.  (2)'!$AMR:$AMU,'Max of Salary ex.  (2)'!$AWN:$AWQ,'Max of Salary ex.  (2)'!$BGJ:$BGM,'Max of Salary ex.  (2)'!$BQF:$BQI,'Max of Salary ex.  (2)'!$CAB:$CAE,'Max of Salary ex.  (2)'!$CJX:$CKA,'Max of Salary ex.  (2)'!$CTT:$CTW,'Max of Salary ex.  (2)'!$DDP:$DDS,'Max of Salary ex.  (2)'!$DNL:$DNO,'Max of Salary ex.  (2)'!$DXH:$DXK,'Max of Salary ex.  (2)'!$EHD:$EHG,'Max of Salary ex.  (2)'!$EQZ:$ERC,'Max of Salary ex.  (2)'!$FAV:$FAY,'Max of Salary ex.  (2)'!$FKR:$FKU,'Max of Salary ex.  (2)'!$FUN:$FUQ,'Max of Salary ex.  (2)'!$GEJ:$GEM,'Max of Salary ex.  (2)'!$GOF:$GOI,'Max of Salary ex.  (2)'!$GYB:$GYE,'Max of Salary ex.  (2)'!$HHX:$HIA,'Max of Salary ex.  (2)'!$HRT:$HRW,'Max of Salary ex.  (2)'!$IBP:$IBS,'Max of Salary ex.  (2)'!$ILL:$ILO,'Max of Salary ex.  (2)'!$IVH:$IVK,'Max of Salary ex.  (2)'!$JFD:$JFG,'Max of Salary ex.  (2)'!$JOZ:$JPC,'Max of Salary ex.  (2)'!$JYV:$JYY,'Max of Salary ex.  (2)'!$KIR:$KIU,'Max of Salary ex.  (2)'!$KSN:$KSQ,'Max of Salary ex.  (2)'!$LCJ:$LCM,'Max of Salary ex.  (2)'!$LMF:$LMI,'Max of Salary ex.  (2)'!$LWB:$LWE,'Max of Salary ex.  (2)'!$MFX:$MGA,'Max of Salary ex.  (2)'!$MPT:$MPW,'Max of Salary ex.  (2)'!$MZP:$MZS,'Max of Salary ex.  (2)'!$NJL:$NJO,'Max of Salary ex.  (2)'!$NTH:$NTK,'Max of Salary ex.  (2)'!$ODD:$ODG,'Max of Salary ex.  (2)'!$OMZ:$ONC,'Max of Salary ex.  (2)'!$OWV:$OWY,'Max of Salary ex.  (2)'!$PGR:$PGU,'Max of Salary ex.  (2)'!$PQN:$PQQ,'Max of Salary ex.  (2)'!$QAJ:$QAM,'Max of Salary ex.  (2)'!$QKF:$QKI,'Max of Salary ex.  (2)'!$QUB:$QUE,'Max of Salary ex.  (2)'!$RDX:$REA,'Max of Salary ex.  (2)'!$RNT:$RNW,'Max of Salary ex.  (2)'!$RXP:$RXS,'Max of Salary ex.  (2)'!$SHL:$SHO,'Max of Salary ex.  (2)'!$SRH:$SRK,'Max of Salary ex.  (2)'!$TBD:$TBG,'Max of Salary ex.  (2)'!$TKZ:$TLC,'Max of Salary ex.  (2)'!$TUV:$TUY,'Max of Salary ex.  (2)'!$UER:$UEU,'Max of Salary ex.  (2)'!$UON:$UOQ,'Max of Salary ex.  (2)'!$UYJ:$UYM,'Max of Salary ex.  (2)'!$VIF:$VII,'Max of Salary ex.  (2)'!$VSB:$VSE,'Max of Salary ex.  (2)'!$WBX:$WCA,'Max of Salary ex.  (2)'!$WLT:$WLW,'Max of Salary ex.  (2)'!$WVP:$WVS</definedName>
    <definedName name="Z_B51D5B49_D308_4214_86D8_9F7F021478DE_.wvu.Cols" localSheetId="15" hidden="1">'Max of Salary ex. 2'!$I:$L,'Max of Salary ex. 2'!$JE:$JH,'Max of Salary ex. 2'!$TA:$TD,'Max of Salary ex. 2'!$ACW:$ACZ,'Max of Salary ex. 2'!$AMS:$AMV,'Max of Salary ex. 2'!$AWO:$AWR,'Max of Salary ex. 2'!$BGK:$BGN,'Max of Salary ex. 2'!$BQG:$BQJ,'Max of Salary ex. 2'!$CAC:$CAF,'Max of Salary ex. 2'!$CJY:$CKB,'Max of Salary ex. 2'!$CTU:$CTX,'Max of Salary ex. 2'!$DDQ:$DDT,'Max of Salary ex. 2'!$DNM:$DNP,'Max of Salary ex. 2'!$DXI:$DXL,'Max of Salary ex. 2'!$EHE:$EHH,'Max of Salary ex. 2'!$ERA:$ERD,'Max of Salary ex. 2'!$FAW:$FAZ,'Max of Salary ex. 2'!$FKS:$FKV,'Max of Salary ex. 2'!$FUO:$FUR,'Max of Salary ex. 2'!$GEK:$GEN,'Max of Salary ex. 2'!$GOG:$GOJ,'Max of Salary ex. 2'!$GYC:$GYF,'Max of Salary ex. 2'!$HHY:$HIB,'Max of Salary ex. 2'!$HRU:$HRX,'Max of Salary ex. 2'!$IBQ:$IBT,'Max of Salary ex. 2'!$ILM:$ILP,'Max of Salary ex. 2'!$IVI:$IVL,'Max of Salary ex. 2'!$JFE:$JFH,'Max of Salary ex. 2'!$JPA:$JPD,'Max of Salary ex. 2'!$JYW:$JYZ,'Max of Salary ex. 2'!$KIS:$KIV,'Max of Salary ex. 2'!$KSO:$KSR,'Max of Salary ex. 2'!$LCK:$LCN,'Max of Salary ex. 2'!$LMG:$LMJ,'Max of Salary ex. 2'!$LWC:$LWF,'Max of Salary ex. 2'!$MFY:$MGB,'Max of Salary ex. 2'!$MPU:$MPX,'Max of Salary ex. 2'!$MZQ:$MZT,'Max of Salary ex. 2'!$NJM:$NJP,'Max of Salary ex. 2'!$NTI:$NTL,'Max of Salary ex. 2'!$ODE:$ODH,'Max of Salary ex. 2'!$ONA:$OND,'Max of Salary ex. 2'!$OWW:$OWZ,'Max of Salary ex. 2'!$PGS:$PGV,'Max of Salary ex. 2'!$PQO:$PQR,'Max of Salary ex. 2'!$QAK:$QAN,'Max of Salary ex. 2'!$QKG:$QKJ,'Max of Salary ex. 2'!$QUC:$QUF,'Max of Salary ex. 2'!$RDY:$REB,'Max of Salary ex. 2'!$RNU:$RNX,'Max of Salary ex. 2'!$RXQ:$RXT,'Max of Salary ex. 2'!$SHM:$SHP,'Max of Salary ex. 2'!$SRI:$SRL,'Max of Salary ex. 2'!$TBE:$TBH,'Max of Salary ex. 2'!$TLA:$TLD,'Max of Salary ex. 2'!$TUW:$TUZ,'Max of Salary ex. 2'!$UES:$UEV,'Max of Salary ex. 2'!$UOO:$UOR,'Max of Salary ex. 2'!$UYK:$UYN,'Max of Salary ex. 2'!$VIG:$VIJ,'Max of Salary ex. 2'!$VSC:$VSF,'Max of Salary ex. 2'!$WBY:$WCB,'Max of Salary ex. 2'!$WLU:$WLX,'Max of Salary ex. 2'!$WVQ:$WVT</definedName>
    <definedName name="Z_B51D5B49_D308_4214_86D8_9F7F021478DE_.wvu.Cols" localSheetId="16" hidden="1">'Max of Salary ex. 2.'!$I:$L,'Max of Salary ex. 2.'!$JE:$JH,'Max of Salary ex. 2.'!$TA:$TD,'Max of Salary ex. 2.'!$ACW:$ACZ,'Max of Salary ex. 2.'!$AMS:$AMV,'Max of Salary ex. 2.'!$AWO:$AWR,'Max of Salary ex. 2.'!$BGK:$BGN,'Max of Salary ex. 2.'!$BQG:$BQJ,'Max of Salary ex. 2.'!$CAC:$CAF,'Max of Salary ex. 2.'!$CJY:$CKB,'Max of Salary ex. 2.'!$CTU:$CTX,'Max of Salary ex. 2.'!$DDQ:$DDT,'Max of Salary ex. 2.'!$DNM:$DNP,'Max of Salary ex. 2.'!$DXI:$DXL,'Max of Salary ex. 2.'!$EHE:$EHH,'Max of Salary ex. 2.'!$ERA:$ERD,'Max of Salary ex. 2.'!$FAW:$FAZ,'Max of Salary ex. 2.'!$FKS:$FKV,'Max of Salary ex. 2.'!$FUO:$FUR,'Max of Salary ex. 2.'!$GEK:$GEN,'Max of Salary ex. 2.'!$GOG:$GOJ,'Max of Salary ex. 2.'!$GYC:$GYF,'Max of Salary ex. 2.'!$HHY:$HIB,'Max of Salary ex. 2.'!$HRU:$HRX,'Max of Salary ex. 2.'!$IBQ:$IBT,'Max of Salary ex. 2.'!$ILM:$ILP,'Max of Salary ex. 2.'!$IVI:$IVL,'Max of Salary ex. 2.'!$JFE:$JFH,'Max of Salary ex. 2.'!$JPA:$JPD,'Max of Salary ex. 2.'!$JYW:$JYZ,'Max of Salary ex. 2.'!$KIS:$KIV,'Max of Salary ex. 2.'!$KSO:$KSR,'Max of Salary ex. 2.'!$LCK:$LCN,'Max of Salary ex. 2.'!$LMG:$LMJ,'Max of Salary ex. 2.'!$LWC:$LWF,'Max of Salary ex. 2.'!$MFY:$MGB,'Max of Salary ex. 2.'!$MPU:$MPX,'Max of Salary ex. 2.'!$MZQ:$MZT,'Max of Salary ex. 2.'!$NJM:$NJP,'Max of Salary ex. 2.'!$NTI:$NTL,'Max of Salary ex. 2.'!$ODE:$ODH,'Max of Salary ex. 2.'!$ONA:$OND,'Max of Salary ex. 2.'!$OWW:$OWZ,'Max of Salary ex. 2.'!$PGS:$PGV,'Max of Salary ex. 2.'!$PQO:$PQR,'Max of Salary ex. 2.'!$QAK:$QAN,'Max of Salary ex. 2.'!$QKG:$QKJ,'Max of Salary ex. 2.'!$QUC:$QUF,'Max of Salary ex. 2.'!$RDY:$REB,'Max of Salary ex. 2.'!$RNU:$RNX,'Max of Salary ex. 2.'!$RXQ:$RXT,'Max of Salary ex. 2.'!$SHM:$SHP,'Max of Salary ex. 2.'!$SRI:$SRL,'Max of Salary ex. 2.'!$TBE:$TBH,'Max of Salary ex. 2.'!$TLA:$TLD,'Max of Salary ex. 2.'!$TUW:$TUZ,'Max of Salary ex. 2.'!$UES:$UEV,'Max of Salary ex. 2.'!$UOO:$UOR,'Max of Salary ex. 2.'!$UYK:$UYN,'Max of Salary ex. 2.'!$VIG:$VIJ,'Max of Salary ex. 2.'!$VSC:$VSF,'Max of Salary ex. 2.'!$WBY:$WCB,'Max of Salary ex. 2.'!$WLU:$WLX,'Max of Salary ex. 2.'!$WVQ:$WVT</definedName>
    <definedName name="Z_B51D5B49_D308_4214_86D8_9F7F021478DE_.wvu.Cols" localSheetId="18" hidden="1">'McDonald (2)'!$K:$N,'McDonald (2)'!$JG:$JJ,'McDonald (2)'!$TC:$TF,'McDonald (2)'!$ACY:$ADB,'McDonald (2)'!$AMU:$AMX,'McDonald (2)'!$AWQ:$AWT,'McDonald (2)'!$BGM:$BGP,'McDonald (2)'!$BQI:$BQL,'McDonald (2)'!$CAE:$CAH,'McDonald (2)'!$CKA:$CKD,'McDonald (2)'!$CTW:$CTZ,'McDonald (2)'!$DDS:$DDV,'McDonald (2)'!$DNO:$DNR,'McDonald (2)'!$DXK:$DXN,'McDonald (2)'!$EHG:$EHJ,'McDonald (2)'!$ERC:$ERF,'McDonald (2)'!$FAY:$FBB,'McDonald (2)'!$FKU:$FKX,'McDonald (2)'!$FUQ:$FUT,'McDonald (2)'!$GEM:$GEP,'McDonald (2)'!$GOI:$GOL,'McDonald (2)'!$GYE:$GYH,'McDonald (2)'!$HIA:$HID,'McDonald (2)'!$HRW:$HRZ,'McDonald (2)'!$IBS:$IBV,'McDonald (2)'!$ILO:$ILR,'McDonald (2)'!$IVK:$IVN,'McDonald (2)'!$JFG:$JFJ,'McDonald (2)'!$JPC:$JPF,'McDonald (2)'!$JYY:$JZB,'McDonald (2)'!$KIU:$KIX,'McDonald (2)'!$KSQ:$KST,'McDonald (2)'!$LCM:$LCP,'McDonald (2)'!$LMI:$LML,'McDonald (2)'!$LWE:$LWH,'McDonald (2)'!$MGA:$MGD,'McDonald (2)'!$MPW:$MPZ,'McDonald (2)'!$MZS:$MZV,'McDonald (2)'!$NJO:$NJR,'McDonald (2)'!$NTK:$NTN,'McDonald (2)'!$ODG:$ODJ,'McDonald (2)'!$ONC:$ONF,'McDonald (2)'!$OWY:$OXB,'McDonald (2)'!$PGU:$PGX,'McDonald (2)'!$PQQ:$PQT,'McDonald (2)'!$QAM:$QAP,'McDonald (2)'!$QKI:$QKL,'McDonald (2)'!$QUE:$QUH,'McDonald (2)'!$REA:$RED,'McDonald (2)'!$RNW:$RNZ,'McDonald (2)'!$RXS:$RXV,'McDonald (2)'!$SHO:$SHR,'McDonald (2)'!$SRK:$SRN,'McDonald (2)'!$TBG:$TBJ,'McDonald (2)'!$TLC:$TLF,'McDonald (2)'!$TUY:$TVB,'McDonald (2)'!$UEU:$UEX,'McDonald (2)'!$UOQ:$UOT,'McDonald (2)'!$UYM:$UYP,'McDonald (2)'!$VII:$VIL,'McDonald (2)'!$VSE:$VSH,'McDonald (2)'!$WCA:$WCD,'McDonald (2)'!$WLW:$WLZ,'McDonald (2)'!$WVS:$WVV</definedName>
    <definedName name="Z_B51D5B49_D308_4214_86D8_9F7F021478DE_.wvu.Cols" localSheetId="19" hidden="1">Netzhammer!$K:$N,Netzhammer!$JG:$JJ,Netzhammer!$TC:$TF,Netzhammer!$ACY:$ADB,Netzhammer!$AMU:$AMX,Netzhammer!$AWQ:$AWT,Netzhammer!$BGM:$BGP,Netzhammer!$BQI:$BQL,Netzhammer!$CAE:$CAH,Netzhammer!$CKA:$CKD,Netzhammer!$CTW:$CTZ,Netzhammer!$DDS:$DDV,Netzhammer!$DNO:$DNR,Netzhammer!$DXK:$DXN,Netzhammer!$EHG:$EHJ,Netzhammer!$ERC:$ERF,Netzhammer!$FAY:$FBB,Netzhammer!$FKU:$FKX,Netzhammer!$FUQ:$FUT,Netzhammer!$GEM:$GEP,Netzhammer!$GOI:$GOL,Netzhammer!$GYE:$GYH,Netzhammer!$HIA:$HID,Netzhammer!$HRW:$HRZ,Netzhammer!$IBS:$IBV,Netzhammer!$ILO:$ILR,Netzhammer!$IVK:$IVN,Netzhammer!$JFG:$JFJ,Netzhammer!$JPC:$JPF,Netzhammer!$JYY:$JZB,Netzhammer!$KIU:$KIX,Netzhammer!$KSQ:$KST,Netzhammer!$LCM:$LCP,Netzhammer!$LMI:$LML,Netzhammer!$LWE:$LWH,Netzhammer!$MGA:$MGD,Netzhammer!$MPW:$MPZ,Netzhammer!$MZS:$MZV,Netzhammer!$NJO:$NJR,Netzhammer!$NTK:$NTN,Netzhammer!$ODG:$ODJ,Netzhammer!$ONC:$ONF,Netzhammer!$OWY:$OXB,Netzhammer!$PGU:$PGX,Netzhammer!$PQQ:$PQT,Netzhammer!$QAM:$QAP,Netzhammer!$QKI:$QKL,Netzhammer!$QUE:$QUH,Netzhammer!$REA:$RED,Netzhammer!$RNW:$RNZ,Netzhammer!$RXS:$RXV,Netzhammer!$SHO:$SHR,Netzhammer!$SRK:$SRN,Netzhammer!$TBG:$TBJ,Netzhammer!$TLC:$TLF,Netzhammer!$TUY:$TVB,Netzhammer!$UEU:$UEX,Netzhammer!$UOQ:$UOT,Netzhammer!$UYM:$UYP,Netzhammer!$VII:$VIL,Netzhammer!$VSE:$VSH,Netzhammer!$WCA:$WCD,Netzhammer!$WLW:$WLZ,Netzhammer!$WVS:$WVV</definedName>
    <definedName name="Z_B51D5B49_D308_4214_86D8_9F7F021478DE_.wvu.Cols" localSheetId="22" hidden="1">'Schulz, N'!$K:$N,'Schulz, N'!$JG:$JJ,'Schulz, N'!$TC:$TF,'Schulz, N'!$ACY:$ADB,'Schulz, N'!$AMU:$AMX,'Schulz, N'!$AWQ:$AWT,'Schulz, N'!$BGM:$BGP,'Schulz, N'!$BQI:$BQL,'Schulz, N'!$CAE:$CAH,'Schulz, N'!$CKA:$CKD,'Schulz, N'!$CTW:$CTZ,'Schulz, N'!$DDS:$DDV,'Schulz, N'!$DNO:$DNR,'Schulz, N'!$DXK:$DXN,'Schulz, N'!$EHG:$EHJ,'Schulz, N'!$ERC:$ERF,'Schulz, N'!$FAY:$FBB,'Schulz, N'!$FKU:$FKX,'Schulz, N'!$FUQ:$FUT,'Schulz, N'!$GEM:$GEP,'Schulz, N'!$GOI:$GOL,'Schulz, N'!$GYE:$GYH,'Schulz, N'!$HIA:$HID,'Schulz, N'!$HRW:$HRZ,'Schulz, N'!$IBS:$IBV,'Schulz, N'!$ILO:$ILR,'Schulz, N'!$IVK:$IVN,'Schulz, N'!$JFG:$JFJ,'Schulz, N'!$JPC:$JPF,'Schulz, N'!$JYY:$JZB,'Schulz, N'!$KIU:$KIX,'Schulz, N'!$KSQ:$KST,'Schulz, N'!$LCM:$LCP,'Schulz, N'!$LMI:$LML,'Schulz, N'!$LWE:$LWH,'Schulz, N'!$MGA:$MGD,'Schulz, N'!$MPW:$MPZ,'Schulz, N'!$MZS:$MZV,'Schulz, N'!$NJO:$NJR,'Schulz, N'!$NTK:$NTN,'Schulz, N'!$ODG:$ODJ,'Schulz, N'!$ONC:$ONF,'Schulz, N'!$OWY:$OXB,'Schulz, N'!$PGU:$PGX,'Schulz, N'!$PQQ:$PQT,'Schulz, N'!$QAM:$QAP,'Schulz, N'!$QKI:$QKL,'Schulz, N'!$QUE:$QUH,'Schulz, N'!$REA:$RED,'Schulz, N'!$RNW:$RNZ,'Schulz, N'!$RXS:$RXV,'Schulz, N'!$SHO:$SHR,'Schulz, N'!$SRK:$SRN,'Schulz, N'!$TBG:$TBJ,'Schulz, N'!$TLC:$TLF,'Schulz, N'!$TUY:$TVB,'Schulz, N'!$UEU:$UEX,'Schulz, N'!$UOQ:$UOT,'Schulz, N'!$UYM:$UYP,'Schulz, N'!$VII:$VIL,'Schulz, N'!$VSE:$VSH,'Schulz, N'!$WCA:$WCD,'Schulz, N'!$WLW:$WLZ,'Schulz, N'!$WVS:$WVV</definedName>
    <definedName name="Z_BA478993_72B7_49F8_A967_B5443FE6D752_.wvu.Cols" localSheetId="27" hidden="1">'&gt;=50 Calc for DRS Plans'!#REF!,'&gt;=50 Calc for DRS Plans'!$IQ:$IT,'&gt;=50 Calc for DRS Plans'!$SM:$SP,'&gt;=50 Calc for DRS Plans'!$ACI:$ACL,'&gt;=50 Calc for DRS Plans'!$AME:$AMH,'&gt;=50 Calc for DRS Plans'!$AWA:$AWD,'&gt;=50 Calc for DRS Plans'!$BFW:$BFZ,'&gt;=50 Calc for DRS Plans'!$BPS:$BPV,'&gt;=50 Calc for DRS Plans'!$BZO:$BZR,'&gt;=50 Calc for DRS Plans'!$CJK:$CJN,'&gt;=50 Calc for DRS Plans'!$CTG:$CTJ,'&gt;=50 Calc for DRS Plans'!$DDC:$DDF,'&gt;=50 Calc for DRS Plans'!$DMY:$DNB,'&gt;=50 Calc for DRS Plans'!$DWU:$DWX,'&gt;=50 Calc for DRS Plans'!$EGQ:$EGT,'&gt;=50 Calc for DRS Plans'!$EQM:$EQP,'&gt;=50 Calc for DRS Plans'!$FAI:$FAL,'&gt;=50 Calc for DRS Plans'!$FKE:$FKH,'&gt;=50 Calc for DRS Plans'!$FUA:$FUD,'&gt;=50 Calc for DRS Plans'!$GDW:$GDZ,'&gt;=50 Calc for DRS Plans'!$GNS:$GNV,'&gt;=50 Calc for DRS Plans'!$GXO:$GXR,'&gt;=50 Calc for DRS Plans'!$HHK:$HHN,'&gt;=50 Calc for DRS Plans'!$HRG:$HRJ,'&gt;=50 Calc for DRS Plans'!$IBC:$IBF,'&gt;=50 Calc for DRS Plans'!$IKY:$ILB,'&gt;=50 Calc for DRS Plans'!$IUU:$IUX,'&gt;=50 Calc for DRS Plans'!$JEQ:$JET,'&gt;=50 Calc for DRS Plans'!$JOM:$JOP,'&gt;=50 Calc for DRS Plans'!$JYI:$JYL,'&gt;=50 Calc for DRS Plans'!$KIE:$KIH,'&gt;=50 Calc for DRS Plans'!$KSA:$KSD,'&gt;=50 Calc for DRS Plans'!$LBW:$LBZ,'&gt;=50 Calc for DRS Plans'!$LLS:$LLV,'&gt;=50 Calc for DRS Plans'!$LVO:$LVR,'&gt;=50 Calc for DRS Plans'!$MFK:$MFN,'&gt;=50 Calc for DRS Plans'!$MPG:$MPJ,'&gt;=50 Calc for DRS Plans'!$MZC:$MZF,'&gt;=50 Calc for DRS Plans'!$NIY:$NJB,'&gt;=50 Calc for DRS Plans'!$NSU:$NSX,'&gt;=50 Calc for DRS Plans'!$OCQ:$OCT,'&gt;=50 Calc for DRS Plans'!$OMM:$OMP,'&gt;=50 Calc for DRS Plans'!$OWI:$OWL,'&gt;=50 Calc for DRS Plans'!$PGE:$PGH,'&gt;=50 Calc for DRS Plans'!$PQA:$PQD,'&gt;=50 Calc for DRS Plans'!$PZW:$PZZ,'&gt;=50 Calc for DRS Plans'!$QJS:$QJV,'&gt;=50 Calc for DRS Plans'!$QTO:$QTR,'&gt;=50 Calc for DRS Plans'!$RDK:$RDN,'&gt;=50 Calc for DRS Plans'!$RNG:$RNJ,'&gt;=50 Calc for DRS Plans'!$RXC:$RXF,'&gt;=50 Calc for DRS Plans'!$SGY:$SHB,'&gt;=50 Calc for DRS Plans'!$SQU:$SQX,'&gt;=50 Calc for DRS Plans'!$TAQ:$TAT,'&gt;=50 Calc for DRS Plans'!$TKM:$TKP,'&gt;=50 Calc for DRS Plans'!$TUI:$TUL,'&gt;=50 Calc for DRS Plans'!$UEE:$UEH,'&gt;=50 Calc for DRS Plans'!$UOA:$UOD,'&gt;=50 Calc for DRS Plans'!$UXW:$UXZ,'&gt;=50 Calc for DRS Plans'!$VHS:$VHV,'&gt;=50 Calc for DRS Plans'!$VRO:$VRR,'&gt;=50 Calc for DRS Plans'!$WBK:$WBN,'&gt;=50 Calc for DRS Plans'!$WLG:$WLJ,'&gt;=50 Calc for DRS Plans'!$WVC:$WVF</definedName>
    <definedName name="Z_BA478993_72B7_49F8_A967_B5443FE6D752_.wvu.Cols" localSheetId="0" hidden="1">'Bandyopadhyay 11.25 &amp; 12.10.'!#REF!,'Bandyopadhyay 11.25 &amp; 12.10.'!$JD:$JG,'Bandyopadhyay 11.25 &amp; 12.10.'!$SZ:$TC,'Bandyopadhyay 11.25 &amp; 12.10.'!$ACV:$ACY,'Bandyopadhyay 11.25 &amp; 12.10.'!$AMR:$AMU,'Bandyopadhyay 11.25 &amp; 12.10.'!$AWN:$AWQ,'Bandyopadhyay 11.25 &amp; 12.10.'!$BGJ:$BGM,'Bandyopadhyay 11.25 &amp; 12.10.'!$BQF:$BQI,'Bandyopadhyay 11.25 &amp; 12.10.'!$CAB:$CAE,'Bandyopadhyay 11.25 &amp; 12.10.'!$CJX:$CKA,'Bandyopadhyay 11.25 &amp; 12.10.'!$CTT:$CTW,'Bandyopadhyay 11.25 &amp; 12.10.'!$DDP:$DDS,'Bandyopadhyay 11.25 &amp; 12.10.'!$DNL:$DNO,'Bandyopadhyay 11.25 &amp; 12.10.'!$DXH:$DXK,'Bandyopadhyay 11.25 &amp; 12.10.'!$EHD:$EHG,'Bandyopadhyay 11.25 &amp; 12.10.'!$EQZ:$ERC,'Bandyopadhyay 11.25 &amp; 12.10.'!$FAV:$FAY,'Bandyopadhyay 11.25 &amp; 12.10.'!$FKR:$FKU,'Bandyopadhyay 11.25 &amp; 12.10.'!$FUN:$FUQ,'Bandyopadhyay 11.25 &amp; 12.10.'!$GEJ:$GEM,'Bandyopadhyay 11.25 &amp; 12.10.'!$GOF:$GOI,'Bandyopadhyay 11.25 &amp; 12.10.'!$GYB:$GYE,'Bandyopadhyay 11.25 &amp; 12.10.'!$HHX:$HIA,'Bandyopadhyay 11.25 &amp; 12.10.'!$HRT:$HRW,'Bandyopadhyay 11.25 &amp; 12.10.'!$IBP:$IBS,'Bandyopadhyay 11.25 &amp; 12.10.'!$ILL:$ILO,'Bandyopadhyay 11.25 &amp; 12.10.'!$IVH:$IVK,'Bandyopadhyay 11.25 &amp; 12.10.'!$JFD:$JFG,'Bandyopadhyay 11.25 &amp; 12.10.'!$JOZ:$JPC,'Bandyopadhyay 11.25 &amp; 12.10.'!$JYV:$JYY,'Bandyopadhyay 11.25 &amp; 12.10.'!$KIR:$KIU,'Bandyopadhyay 11.25 &amp; 12.10.'!$KSN:$KSQ,'Bandyopadhyay 11.25 &amp; 12.10.'!$LCJ:$LCM,'Bandyopadhyay 11.25 &amp; 12.10.'!$LMF:$LMI,'Bandyopadhyay 11.25 &amp; 12.10.'!$LWB:$LWE,'Bandyopadhyay 11.25 &amp; 12.10.'!$MFX:$MGA,'Bandyopadhyay 11.25 &amp; 12.10.'!$MPT:$MPW,'Bandyopadhyay 11.25 &amp; 12.10.'!$MZP:$MZS,'Bandyopadhyay 11.25 &amp; 12.10.'!$NJL:$NJO,'Bandyopadhyay 11.25 &amp; 12.10.'!$NTH:$NTK,'Bandyopadhyay 11.25 &amp; 12.10.'!$ODD:$ODG,'Bandyopadhyay 11.25 &amp; 12.10.'!$OMZ:$ONC,'Bandyopadhyay 11.25 &amp; 12.10.'!$OWV:$OWY,'Bandyopadhyay 11.25 &amp; 12.10.'!$PGR:$PGU,'Bandyopadhyay 11.25 &amp; 12.10.'!$PQN:$PQQ,'Bandyopadhyay 11.25 &amp; 12.10.'!$QAJ:$QAM,'Bandyopadhyay 11.25 &amp; 12.10.'!$QKF:$QKI,'Bandyopadhyay 11.25 &amp; 12.10.'!$QUB:$QUE,'Bandyopadhyay 11.25 &amp; 12.10.'!$RDX:$REA,'Bandyopadhyay 11.25 &amp; 12.10.'!$RNT:$RNW,'Bandyopadhyay 11.25 &amp; 12.10.'!$RXP:$RXS,'Bandyopadhyay 11.25 &amp; 12.10.'!$SHL:$SHO,'Bandyopadhyay 11.25 &amp; 12.10.'!$SRH:$SRK,'Bandyopadhyay 11.25 &amp; 12.10.'!$TBD:$TBG,'Bandyopadhyay 11.25 &amp; 12.10.'!$TKZ:$TLC,'Bandyopadhyay 11.25 &amp; 12.10.'!$TUV:$TUY,'Bandyopadhyay 11.25 &amp; 12.10.'!$UER:$UEU,'Bandyopadhyay 11.25 &amp; 12.10.'!$UON:$UOQ,'Bandyopadhyay 11.25 &amp; 12.10.'!$UYJ:$UYM,'Bandyopadhyay 11.25 &amp; 12.10.'!$VIF:$VII,'Bandyopadhyay 11.25 &amp; 12.10.'!$VSB:$VSE,'Bandyopadhyay 11.25 &amp; 12.10.'!$WBX:$WCA,'Bandyopadhyay 11.25 &amp; 12.10.'!$WLT:$WLW,'Bandyopadhyay 11.25 &amp; 12.10.'!$WVP:$WVS</definedName>
    <definedName name="Z_BA478993_72B7_49F8_A967_B5443FE6D752_.wvu.Cols" localSheetId="1" hidden="1">'Bender 11.25.'!#REF!,'Bender 11.25.'!$JD:$JG,'Bender 11.25.'!$SZ:$TC,'Bender 11.25.'!$ACV:$ACY,'Bender 11.25.'!$AMR:$AMU,'Bender 11.25.'!$AWN:$AWQ,'Bender 11.25.'!$BGJ:$BGM,'Bender 11.25.'!$BQF:$BQI,'Bender 11.25.'!$CAB:$CAE,'Bender 11.25.'!$CJX:$CKA,'Bender 11.25.'!$CTT:$CTW,'Bender 11.25.'!$DDP:$DDS,'Bender 11.25.'!$DNL:$DNO,'Bender 11.25.'!$DXH:$DXK,'Bender 11.25.'!$EHD:$EHG,'Bender 11.25.'!$EQZ:$ERC,'Bender 11.25.'!$FAV:$FAY,'Bender 11.25.'!$FKR:$FKU,'Bender 11.25.'!$FUN:$FUQ,'Bender 11.25.'!$GEJ:$GEM,'Bender 11.25.'!$GOF:$GOI,'Bender 11.25.'!$GYB:$GYE,'Bender 11.25.'!$HHX:$HIA,'Bender 11.25.'!$HRT:$HRW,'Bender 11.25.'!$IBP:$IBS,'Bender 11.25.'!$ILL:$ILO,'Bender 11.25.'!$IVH:$IVK,'Bender 11.25.'!$JFD:$JFG,'Bender 11.25.'!$JOZ:$JPC,'Bender 11.25.'!$JYV:$JYY,'Bender 11.25.'!$KIR:$KIU,'Bender 11.25.'!$KSN:$KSQ,'Bender 11.25.'!$LCJ:$LCM,'Bender 11.25.'!$LMF:$LMI,'Bender 11.25.'!$LWB:$LWE,'Bender 11.25.'!$MFX:$MGA,'Bender 11.25.'!$MPT:$MPW,'Bender 11.25.'!$MZP:$MZS,'Bender 11.25.'!$NJL:$NJO,'Bender 11.25.'!$NTH:$NTK,'Bender 11.25.'!$ODD:$ODG,'Bender 11.25.'!$OMZ:$ONC,'Bender 11.25.'!$OWV:$OWY,'Bender 11.25.'!$PGR:$PGU,'Bender 11.25.'!$PQN:$PQQ,'Bender 11.25.'!$QAJ:$QAM,'Bender 11.25.'!$QKF:$QKI,'Bender 11.25.'!$QUB:$QUE,'Bender 11.25.'!$RDX:$REA,'Bender 11.25.'!$RNT:$RNW,'Bender 11.25.'!$RXP:$RXS,'Bender 11.25.'!$SHL:$SHO,'Bender 11.25.'!$SRH:$SRK,'Bender 11.25.'!$TBD:$TBG,'Bender 11.25.'!$TKZ:$TLC,'Bender 11.25.'!$TUV:$TUY,'Bender 11.25.'!$UER:$UEU,'Bender 11.25.'!$UON:$UOQ,'Bender 11.25.'!$UYJ:$UYM,'Bender 11.25.'!$VIF:$VII,'Bender 11.25.'!$VSB:$VSE,'Bender 11.25.'!$WBX:$WCA,'Bender 11.25.'!$WLT:$WLW,'Bender 11.25.'!$WVP:$WVS</definedName>
    <definedName name="Z_BA478993_72B7_49F8_A967_B5443FE6D752_.wvu.Cols" localSheetId="2" hidden="1">'Bose, Susmita 11.25.1'!#REF!,'Bose, Susmita 11.25.1'!$JD:$JG,'Bose, Susmita 11.25.1'!$SZ:$TC,'Bose, Susmita 11.25.1'!$ACV:$ACY,'Bose, Susmita 11.25.1'!$AMR:$AMU,'Bose, Susmita 11.25.1'!$AWN:$AWQ,'Bose, Susmita 11.25.1'!$BGJ:$BGM,'Bose, Susmita 11.25.1'!$BQF:$BQI,'Bose, Susmita 11.25.1'!$CAB:$CAE,'Bose, Susmita 11.25.1'!$CJX:$CKA,'Bose, Susmita 11.25.1'!$CTT:$CTW,'Bose, Susmita 11.25.1'!$DDP:$DDS,'Bose, Susmita 11.25.1'!$DNL:$DNO,'Bose, Susmita 11.25.1'!$DXH:$DXK,'Bose, Susmita 11.25.1'!$EHD:$EHG,'Bose, Susmita 11.25.1'!$EQZ:$ERC,'Bose, Susmita 11.25.1'!$FAV:$FAY,'Bose, Susmita 11.25.1'!$FKR:$FKU,'Bose, Susmita 11.25.1'!$FUN:$FUQ,'Bose, Susmita 11.25.1'!$GEJ:$GEM,'Bose, Susmita 11.25.1'!$GOF:$GOI,'Bose, Susmita 11.25.1'!$GYB:$GYE,'Bose, Susmita 11.25.1'!$HHX:$HIA,'Bose, Susmita 11.25.1'!$HRT:$HRW,'Bose, Susmita 11.25.1'!$IBP:$IBS,'Bose, Susmita 11.25.1'!$ILL:$ILO,'Bose, Susmita 11.25.1'!$IVH:$IVK,'Bose, Susmita 11.25.1'!$JFD:$JFG,'Bose, Susmita 11.25.1'!$JOZ:$JPC,'Bose, Susmita 11.25.1'!$JYV:$JYY,'Bose, Susmita 11.25.1'!$KIR:$KIU,'Bose, Susmita 11.25.1'!$KSN:$KSQ,'Bose, Susmita 11.25.1'!$LCJ:$LCM,'Bose, Susmita 11.25.1'!$LMF:$LMI,'Bose, Susmita 11.25.1'!$LWB:$LWE,'Bose, Susmita 11.25.1'!$MFX:$MGA,'Bose, Susmita 11.25.1'!$MPT:$MPW,'Bose, Susmita 11.25.1'!$MZP:$MZS,'Bose, Susmita 11.25.1'!$NJL:$NJO,'Bose, Susmita 11.25.1'!$NTH:$NTK,'Bose, Susmita 11.25.1'!$ODD:$ODG,'Bose, Susmita 11.25.1'!$OMZ:$ONC,'Bose, Susmita 11.25.1'!$OWV:$OWY,'Bose, Susmita 11.25.1'!$PGR:$PGU,'Bose, Susmita 11.25.1'!$PQN:$PQQ,'Bose, Susmita 11.25.1'!$QAJ:$QAM,'Bose, Susmita 11.25.1'!$QKF:$QKI,'Bose, Susmita 11.25.1'!$QUB:$QUE,'Bose, Susmita 11.25.1'!$RDX:$REA,'Bose, Susmita 11.25.1'!$RNT:$RNW,'Bose, Susmita 11.25.1'!$RXP:$RXS,'Bose, Susmita 11.25.1'!$SHL:$SHO,'Bose, Susmita 11.25.1'!$SRH:$SRK,'Bose, Susmita 11.25.1'!$TBD:$TBG,'Bose, Susmita 11.25.1'!$TKZ:$TLC,'Bose, Susmita 11.25.1'!$TUV:$TUY,'Bose, Susmita 11.25.1'!$UER:$UEU,'Bose, Susmita 11.25.1'!$UON:$UOQ,'Bose, Susmita 11.25.1'!$UYJ:$UYM,'Bose, Susmita 11.25.1'!$VIF:$VII,'Bose, Susmita 11.25.1'!$VSB:$VSE,'Bose, Susmita 11.25.1'!$WBX:$WCA,'Bose, Susmita 11.25.1'!$WLT:$WLW,'Bose, Susmita 11.25.1'!$WVP:$WVS</definedName>
    <definedName name="Z_BA478993_72B7_49F8_A967_B5443FE6D752_.wvu.Cols" localSheetId="3" hidden="1">'Ding, Jow 11.25.'!#REF!,'Ding, Jow 11.25.'!$JD:$JG,'Ding, Jow 11.25.'!$SZ:$TC,'Ding, Jow 11.25.'!$ACV:$ACY,'Ding, Jow 11.25.'!$AMR:$AMU,'Ding, Jow 11.25.'!$AWN:$AWQ,'Ding, Jow 11.25.'!$BGJ:$BGM,'Ding, Jow 11.25.'!$BQF:$BQI,'Ding, Jow 11.25.'!$CAB:$CAE,'Ding, Jow 11.25.'!$CJX:$CKA,'Ding, Jow 11.25.'!$CTT:$CTW,'Ding, Jow 11.25.'!$DDP:$DDS,'Ding, Jow 11.25.'!$DNL:$DNO,'Ding, Jow 11.25.'!$DXH:$DXK,'Ding, Jow 11.25.'!$EHD:$EHG,'Ding, Jow 11.25.'!$EQZ:$ERC,'Ding, Jow 11.25.'!$FAV:$FAY,'Ding, Jow 11.25.'!$FKR:$FKU,'Ding, Jow 11.25.'!$FUN:$FUQ,'Ding, Jow 11.25.'!$GEJ:$GEM,'Ding, Jow 11.25.'!$GOF:$GOI,'Ding, Jow 11.25.'!$GYB:$GYE,'Ding, Jow 11.25.'!$HHX:$HIA,'Ding, Jow 11.25.'!$HRT:$HRW,'Ding, Jow 11.25.'!$IBP:$IBS,'Ding, Jow 11.25.'!$ILL:$ILO,'Ding, Jow 11.25.'!$IVH:$IVK,'Ding, Jow 11.25.'!$JFD:$JFG,'Ding, Jow 11.25.'!$JOZ:$JPC,'Ding, Jow 11.25.'!$JYV:$JYY,'Ding, Jow 11.25.'!$KIR:$KIU,'Ding, Jow 11.25.'!$KSN:$KSQ,'Ding, Jow 11.25.'!$LCJ:$LCM,'Ding, Jow 11.25.'!$LMF:$LMI,'Ding, Jow 11.25.'!$LWB:$LWE,'Ding, Jow 11.25.'!$MFX:$MGA,'Ding, Jow 11.25.'!$MPT:$MPW,'Ding, Jow 11.25.'!$MZP:$MZS,'Ding, Jow 11.25.'!$NJL:$NJO,'Ding, Jow 11.25.'!$NTH:$NTK,'Ding, Jow 11.25.'!$ODD:$ODG,'Ding, Jow 11.25.'!$OMZ:$ONC,'Ding, Jow 11.25.'!$OWV:$OWY,'Ding, Jow 11.25.'!$PGR:$PGU,'Ding, Jow 11.25.'!$PQN:$PQQ,'Ding, Jow 11.25.'!$QAJ:$QAM,'Ding, Jow 11.25.'!$QKF:$QKI,'Ding, Jow 11.25.'!$QUB:$QUE,'Ding, Jow 11.25.'!$RDX:$REA,'Ding, Jow 11.25.'!$RNT:$RNW,'Ding, Jow 11.25.'!$RXP:$RXS,'Ding, Jow 11.25.'!$SHL:$SHO,'Ding, Jow 11.25.'!$SRH:$SRK,'Ding, Jow 11.25.'!$TBD:$TBG,'Ding, Jow 11.25.'!$TKZ:$TLC,'Ding, Jow 11.25.'!$TUV:$TUY,'Ding, Jow 11.25.'!$UER:$UEU,'Ding, Jow 11.25.'!$UON:$UOQ,'Ding, Jow 11.25.'!$UYJ:$UYM,'Ding, Jow 11.25.'!$VIF:$VII,'Ding, Jow 11.25.'!$VSB:$VSE,'Ding, Jow 11.25.'!$WBX:$WCA,'Ding, Jow 11.25.'!$WLT:$WLW,'Ding, Jow 11.25.'!$WVP:$WVS</definedName>
    <definedName name="Z_BA478993_72B7_49F8_A967_B5443FE6D752_.wvu.Cols" localSheetId="4" hidden="1">'Eilers - 11.10 Double check'!$L:$O,'Eilers - 11.10 Double check'!$JH:$JK,'Eilers - 11.10 Double check'!$TD:$TG,'Eilers - 11.10 Double check'!$ACZ:$ADC,'Eilers - 11.10 Double check'!$AMV:$AMY,'Eilers - 11.10 Double check'!$AWR:$AWU,'Eilers - 11.10 Double check'!$BGN:$BGQ,'Eilers - 11.10 Double check'!$BQJ:$BQM,'Eilers - 11.10 Double check'!$CAF:$CAI,'Eilers - 11.10 Double check'!$CKB:$CKE,'Eilers - 11.10 Double check'!$CTX:$CUA,'Eilers - 11.10 Double check'!$DDT:$DDW,'Eilers - 11.10 Double check'!$DNP:$DNS,'Eilers - 11.10 Double check'!$DXL:$DXO,'Eilers - 11.10 Double check'!$EHH:$EHK,'Eilers - 11.10 Double check'!$ERD:$ERG,'Eilers - 11.10 Double check'!$FAZ:$FBC,'Eilers - 11.10 Double check'!$FKV:$FKY,'Eilers - 11.10 Double check'!$FUR:$FUU,'Eilers - 11.10 Double check'!$GEN:$GEQ,'Eilers - 11.10 Double check'!$GOJ:$GOM,'Eilers - 11.10 Double check'!$GYF:$GYI,'Eilers - 11.10 Double check'!$HIB:$HIE,'Eilers - 11.10 Double check'!$HRX:$HSA,'Eilers - 11.10 Double check'!$IBT:$IBW,'Eilers - 11.10 Double check'!$ILP:$ILS,'Eilers - 11.10 Double check'!$IVL:$IVO,'Eilers - 11.10 Double check'!$JFH:$JFK,'Eilers - 11.10 Double check'!$JPD:$JPG,'Eilers - 11.10 Double check'!$JYZ:$JZC,'Eilers - 11.10 Double check'!$KIV:$KIY,'Eilers - 11.10 Double check'!$KSR:$KSU,'Eilers - 11.10 Double check'!$LCN:$LCQ,'Eilers - 11.10 Double check'!$LMJ:$LMM,'Eilers - 11.10 Double check'!$LWF:$LWI,'Eilers - 11.10 Double check'!$MGB:$MGE,'Eilers - 11.10 Double check'!$MPX:$MQA,'Eilers - 11.10 Double check'!$MZT:$MZW,'Eilers - 11.10 Double check'!$NJP:$NJS,'Eilers - 11.10 Double check'!$NTL:$NTO,'Eilers - 11.10 Double check'!$ODH:$ODK,'Eilers - 11.10 Double check'!$OND:$ONG,'Eilers - 11.10 Double check'!$OWZ:$OXC,'Eilers - 11.10 Double check'!$PGV:$PGY,'Eilers - 11.10 Double check'!$PQR:$PQU,'Eilers - 11.10 Double check'!$QAN:$QAQ,'Eilers - 11.10 Double check'!$QKJ:$QKM,'Eilers - 11.10 Double check'!$QUF:$QUI,'Eilers - 11.10 Double check'!$REB:$REE,'Eilers - 11.10 Double check'!$RNX:$ROA,'Eilers - 11.10 Double check'!$RXT:$RXW,'Eilers - 11.10 Double check'!$SHP:$SHS,'Eilers - 11.10 Double check'!$SRL:$SRO,'Eilers - 11.10 Double check'!$TBH:$TBK,'Eilers - 11.10 Double check'!$TLD:$TLG,'Eilers - 11.10 Double check'!$TUZ:$TVC,'Eilers - 11.10 Double check'!$UEV:$UEY,'Eilers - 11.10 Double check'!$UOR:$UOU,'Eilers - 11.10 Double check'!$UYN:$UYQ,'Eilers - 11.10 Double check'!$VIJ:$VIM,'Eilers - 11.10 Double check'!$VSF:$VSI,'Eilers - 11.10 Double check'!$WCB:$WCE,'Eilers - 11.10 Double check'!$WLX:$WMA,'Eilers - 11.10 Double check'!$WVT:$WVW</definedName>
    <definedName name="Z_BA478993_72B7_49F8_A967_B5443FE6D752_.wvu.Cols" localSheetId="5" hidden="1">'Eilers - full yr'!$L:$O,'Eilers - full yr'!$JH:$JK,'Eilers - full yr'!$TD:$TG,'Eilers - full yr'!$ACZ:$ADC,'Eilers - full yr'!$AMV:$AMY,'Eilers - full yr'!$AWR:$AWU,'Eilers - full yr'!$BGN:$BGQ,'Eilers - full yr'!$BQJ:$BQM,'Eilers - full yr'!$CAF:$CAI,'Eilers - full yr'!$CKB:$CKE,'Eilers - full yr'!$CTX:$CUA,'Eilers - full yr'!$DDT:$DDW,'Eilers - full yr'!$DNP:$DNS,'Eilers - full yr'!$DXL:$DXO,'Eilers - full yr'!$EHH:$EHK,'Eilers - full yr'!$ERD:$ERG,'Eilers - full yr'!$FAZ:$FBC,'Eilers - full yr'!$FKV:$FKY,'Eilers - full yr'!$FUR:$FUU,'Eilers - full yr'!$GEN:$GEQ,'Eilers - full yr'!$GOJ:$GOM,'Eilers - full yr'!$GYF:$GYI,'Eilers - full yr'!$HIB:$HIE,'Eilers - full yr'!$HRX:$HSA,'Eilers - full yr'!$IBT:$IBW,'Eilers - full yr'!$ILP:$ILS,'Eilers - full yr'!$IVL:$IVO,'Eilers - full yr'!$JFH:$JFK,'Eilers - full yr'!$JPD:$JPG,'Eilers - full yr'!$JYZ:$JZC,'Eilers - full yr'!$KIV:$KIY,'Eilers - full yr'!$KSR:$KSU,'Eilers - full yr'!$LCN:$LCQ,'Eilers - full yr'!$LMJ:$LMM,'Eilers - full yr'!$LWF:$LWI,'Eilers - full yr'!$MGB:$MGE,'Eilers - full yr'!$MPX:$MQA,'Eilers - full yr'!$MZT:$MZW,'Eilers - full yr'!$NJP:$NJS,'Eilers - full yr'!$NTL:$NTO,'Eilers - full yr'!$ODH:$ODK,'Eilers - full yr'!$OND:$ONG,'Eilers - full yr'!$OWZ:$OXC,'Eilers - full yr'!$PGV:$PGY,'Eilers - full yr'!$PQR:$PQU,'Eilers - full yr'!$QAN:$QAQ,'Eilers - full yr'!$QKJ:$QKM,'Eilers - full yr'!$QUF:$QUI,'Eilers - full yr'!$REB:$REE,'Eilers - full yr'!$RNX:$ROA,'Eilers - full yr'!$RXT:$RXW,'Eilers - full yr'!$SHP:$SHS,'Eilers - full yr'!$SRL:$SRO,'Eilers - full yr'!$TBH:$TBK,'Eilers - full yr'!$TLD:$TLG,'Eilers - full yr'!$TUZ:$TVC,'Eilers - full yr'!$UEV:$UEY,'Eilers - full yr'!$UOR:$UOU,'Eilers - full yr'!$UYN:$UYQ,'Eilers - full yr'!$VIJ:$VIM,'Eilers - full yr'!$VSF:$VSI,'Eilers - full yr'!$WCB:$WCE,'Eilers - full yr'!$WLX:$WMA,'Eilers - full yr'!$WVT:$WVW</definedName>
    <definedName name="Z_BA478993_72B7_49F8_A967_B5443FE6D752_.wvu.Cols" localSheetId="6" hidden="1">Etheridge!$K:$N,Etheridge!$JG:$JJ,Etheridge!$TC:$TF,Etheridge!$ACY:$ADB,Etheridge!$AMU:$AMX,Etheridge!$AWQ:$AWT,Etheridge!$BGM:$BGP,Etheridge!$BQI:$BQL,Etheridge!$CAE:$CAH,Etheridge!$CKA:$CKD,Etheridge!$CTW:$CTZ,Etheridge!$DDS:$DDV,Etheridge!$DNO:$DNR,Etheridge!$DXK:$DXN,Etheridge!$EHG:$EHJ,Etheridge!$ERC:$ERF,Etheridge!$FAY:$FBB,Etheridge!$FKU:$FKX,Etheridge!$FUQ:$FUT,Etheridge!$GEM:$GEP,Etheridge!$GOI:$GOL,Etheridge!$GYE:$GYH,Etheridge!$HIA:$HID,Etheridge!$HRW:$HRZ,Etheridge!$IBS:$IBV,Etheridge!$ILO:$ILR,Etheridge!$IVK:$IVN,Etheridge!$JFG:$JFJ,Etheridge!$JPC:$JPF,Etheridge!$JYY:$JZB,Etheridge!$KIU:$KIX,Etheridge!$KSQ:$KST,Etheridge!$LCM:$LCP,Etheridge!$LMI:$LML,Etheridge!$LWE:$LWH,Etheridge!$MGA:$MGD,Etheridge!$MPW:$MPZ,Etheridge!$MZS:$MZV,Etheridge!$NJO:$NJR,Etheridge!$NTK:$NTN,Etheridge!$ODG:$ODJ,Etheridge!$ONC:$ONF,Etheridge!$OWY:$OXB,Etheridge!$PGU:$PGX,Etheridge!$PQQ:$PQT,Etheridge!$QAM:$QAP,Etheridge!$QKI:$QKL,Etheridge!$QUE:$QUH,Etheridge!$REA:$RED,Etheridge!$RNW:$RNZ,Etheridge!$RXS:$RXV,Etheridge!$SHO:$SHR,Etheridge!$SRK:$SRN,Etheridge!$TBG:$TBJ,Etheridge!$TLC:$TLF,Etheridge!$TUY:$TVB,Etheridge!$UEU:$UEX,Etheridge!$UOQ:$UOT,Etheridge!$UYM:$UYP,Etheridge!$VII:$VIL,Etheridge!$VSE:$VSH,Etheridge!$WCA:$WCD,Etheridge!$WLW:$WLZ,Etheridge!$WVS:$WVV</definedName>
    <definedName name="Z_BA478993_72B7_49F8_A967_B5443FE6D752_.wvu.Cols" localSheetId="7" hidden="1">Flores1!#REF!,Flores1!$JD:$JG,Flores1!$SZ:$TC,Flores1!$ACV:$ACY,Flores1!$AMR:$AMU,Flores1!$AWN:$AWQ,Flores1!$BGJ:$BGM,Flores1!$BQF:$BQI,Flores1!$CAB:$CAE,Flores1!$CJX:$CKA,Flores1!$CTT:$CTW,Flores1!$DDP:$DDS,Flores1!$DNL:$DNO,Flores1!$DXH:$DXK,Flores1!$EHD:$EHG,Flores1!$EQZ:$ERC,Flores1!$FAV:$FAY,Flores1!$FKR:$FKU,Flores1!$FUN:$FUQ,Flores1!$GEJ:$GEM,Flores1!$GOF:$GOI,Flores1!$GYB:$GYE,Flores1!$HHX:$HIA,Flores1!$HRT:$HRW,Flores1!$IBP:$IBS,Flores1!$ILL:$ILO,Flores1!$IVH:$IVK,Flores1!$JFD:$JFG,Flores1!$JOZ:$JPC,Flores1!$JYV:$JYY,Flores1!$KIR:$KIU,Flores1!$KSN:$KSQ,Flores1!$LCJ:$LCM,Flores1!$LMF:$LMI,Flores1!$LWB:$LWE,Flores1!$MFX:$MGA,Flores1!$MPT:$MPW,Flores1!$MZP:$MZS,Flores1!$NJL:$NJO,Flores1!$NTH:$NTK,Flores1!$ODD:$ODG,Flores1!$OMZ:$ONC,Flores1!$OWV:$OWY,Flores1!$PGR:$PGU,Flores1!$PQN:$PQQ,Flores1!$QAJ:$QAM,Flores1!$QKF:$QKI,Flores1!$QUB:$QUE,Flores1!$RDX:$REA,Flores1!$RNT:$RNW,Flores1!$RXP:$RXS,Flores1!$SHL:$SHO,Flores1!$SRH:$SRK,Flores1!$TBD:$TBG,Flores1!$TKZ:$TLC,Flores1!$TUV:$TUY,Flores1!$UER:$UEU,Flores1!$UON:$UOQ,Flores1!$UYJ:$UYM,Flores1!$VIF:$VII,Flores1!$VSB:$VSE,Flores1!$WBX:$WCA,Flores1!$WLT:$WLW,Flores1!$WVP:$WVS</definedName>
    <definedName name="Z_BA478993_72B7_49F8_A967_B5443FE6D752_.wvu.Cols" localSheetId="8" hidden="1">'Franklin (SK)'!#REF!,'Franklin (SK)'!$JD:$JG,'Franklin (SK)'!$SZ:$TC,'Franklin (SK)'!$ACV:$ACY,'Franklin (SK)'!$AMR:$AMU,'Franklin (SK)'!$AWN:$AWQ,'Franklin (SK)'!$BGJ:$BGM,'Franklin (SK)'!$BQF:$BQI,'Franklin (SK)'!$CAB:$CAE,'Franklin (SK)'!$CJX:$CKA,'Franklin (SK)'!$CTT:$CTW,'Franklin (SK)'!$DDP:$DDS,'Franklin (SK)'!$DNL:$DNO,'Franklin (SK)'!$DXH:$DXK,'Franklin (SK)'!$EHD:$EHG,'Franklin (SK)'!$EQZ:$ERC,'Franklin (SK)'!$FAV:$FAY,'Franklin (SK)'!$FKR:$FKU,'Franklin (SK)'!$FUN:$FUQ,'Franklin (SK)'!$GEJ:$GEM,'Franklin (SK)'!$GOF:$GOI,'Franklin (SK)'!$GYB:$GYE,'Franklin (SK)'!$HHX:$HIA,'Franklin (SK)'!$HRT:$HRW,'Franklin (SK)'!$IBP:$IBS,'Franklin (SK)'!$ILL:$ILO,'Franklin (SK)'!$IVH:$IVK,'Franklin (SK)'!$JFD:$JFG,'Franklin (SK)'!$JOZ:$JPC,'Franklin (SK)'!$JYV:$JYY,'Franklin (SK)'!$KIR:$KIU,'Franklin (SK)'!$KSN:$KSQ,'Franklin (SK)'!$LCJ:$LCM,'Franklin (SK)'!$LMF:$LMI,'Franklin (SK)'!$LWB:$LWE,'Franklin (SK)'!$MFX:$MGA,'Franklin (SK)'!$MPT:$MPW,'Franklin (SK)'!$MZP:$MZS,'Franklin (SK)'!$NJL:$NJO,'Franklin (SK)'!$NTH:$NTK,'Franklin (SK)'!$ODD:$ODG,'Franklin (SK)'!$OMZ:$ONC,'Franklin (SK)'!$OWV:$OWY,'Franklin (SK)'!$PGR:$PGU,'Franklin (SK)'!$PQN:$PQQ,'Franklin (SK)'!$QAJ:$QAM,'Franklin (SK)'!$QKF:$QKI,'Franklin (SK)'!$QUB:$QUE,'Franklin (SK)'!$RDX:$REA,'Franklin (SK)'!$RNT:$RNW,'Franklin (SK)'!$RXP:$RXS,'Franklin (SK)'!$SHL:$SHO,'Franklin (SK)'!$SRH:$SRK,'Franklin (SK)'!$TBD:$TBG,'Franklin (SK)'!$TKZ:$TLC,'Franklin (SK)'!$TUV:$TUY,'Franklin (SK)'!$UER:$UEU,'Franklin (SK)'!$UON:$UOQ,'Franklin (SK)'!$UYJ:$UYM,'Franklin (SK)'!$VIF:$VII,'Franklin (SK)'!$VSB:$VSE,'Franklin (SK)'!$WBX:$WCA,'Franklin (SK)'!$WLT:$WLW,'Franklin (SK)'!$WVP:$WVS</definedName>
    <definedName name="Z_BA478993_72B7_49F8_A967_B5443FE6D752_.wvu.Cols" localSheetId="9" hidden="1">'He 10.25'!$K:$N,'He 10.25'!$JG:$JJ,'He 10.25'!$TC:$TF,'He 10.25'!$ACY:$ADB,'He 10.25'!$AMU:$AMX,'He 10.25'!$AWQ:$AWT,'He 10.25'!$BGM:$BGP,'He 10.25'!$BQI:$BQL,'He 10.25'!$CAE:$CAH,'He 10.25'!$CKA:$CKD,'He 10.25'!$CTW:$CTZ,'He 10.25'!$DDS:$DDV,'He 10.25'!$DNO:$DNR,'He 10.25'!$DXK:$DXN,'He 10.25'!$EHG:$EHJ,'He 10.25'!$ERC:$ERF,'He 10.25'!$FAY:$FBB,'He 10.25'!$FKU:$FKX,'He 10.25'!$FUQ:$FUT,'He 10.25'!$GEM:$GEP,'He 10.25'!$GOI:$GOL,'He 10.25'!$GYE:$GYH,'He 10.25'!$HIA:$HID,'He 10.25'!$HRW:$HRZ,'He 10.25'!$IBS:$IBV,'He 10.25'!$ILO:$ILR,'He 10.25'!$IVK:$IVN,'He 10.25'!$JFG:$JFJ,'He 10.25'!$JPC:$JPF,'He 10.25'!$JYY:$JZB,'He 10.25'!$KIU:$KIX,'He 10.25'!$KSQ:$KST,'He 10.25'!$LCM:$LCP,'He 10.25'!$LMI:$LML,'He 10.25'!$LWE:$LWH,'He 10.25'!$MGA:$MGD,'He 10.25'!$MPW:$MPZ,'He 10.25'!$MZS:$MZV,'He 10.25'!$NJO:$NJR,'He 10.25'!$NTK:$NTN,'He 10.25'!$ODG:$ODJ,'He 10.25'!$ONC:$ONF,'He 10.25'!$OWY:$OXB,'He 10.25'!$PGU:$PGX,'He 10.25'!$PQQ:$PQT,'He 10.25'!$QAM:$QAP,'He 10.25'!$QKI:$QKL,'He 10.25'!$QUE:$QUH,'He 10.25'!$REA:$RED,'He 10.25'!$RNW:$RNZ,'He 10.25'!$RXS:$RXV,'He 10.25'!$SHO:$SHR,'He 10.25'!$SRK:$SRN,'He 10.25'!$TBG:$TBJ,'He 10.25'!$TLC:$TLF,'He 10.25'!$TUY:$TVB,'He 10.25'!$UEU:$UEX,'He 10.25'!$UOQ:$UOT,'He 10.25'!$UYM:$UYP,'He 10.25'!$VII:$VIL,'He 10.25'!$VSE:$VSH,'He 10.25'!$WCA:$WCD,'He 10.25'!$WLW:$WLZ,'He 10.25'!$WVS:$WVV</definedName>
    <definedName name="Z_BA478993_72B7_49F8_A967_B5443FE6D752_.wvu.Cols" localSheetId="10" hidden="1">'Jordan, Michael'!$M:$P,'Jordan, Michael'!$JI:$JL,'Jordan, Michael'!$TE:$TH,'Jordan, Michael'!$ADA:$ADD,'Jordan, Michael'!$AMW:$AMZ,'Jordan, Michael'!$AWS:$AWV,'Jordan, Michael'!$BGO:$BGR,'Jordan, Michael'!$BQK:$BQN,'Jordan, Michael'!$CAG:$CAJ,'Jordan, Michael'!$CKC:$CKF,'Jordan, Michael'!$CTY:$CUB,'Jordan, Michael'!$DDU:$DDX,'Jordan, Michael'!$DNQ:$DNT,'Jordan, Michael'!$DXM:$DXP,'Jordan, Michael'!$EHI:$EHL,'Jordan, Michael'!$ERE:$ERH,'Jordan, Michael'!$FBA:$FBD,'Jordan, Michael'!$FKW:$FKZ,'Jordan, Michael'!$FUS:$FUV,'Jordan, Michael'!$GEO:$GER,'Jordan, Michael'!$GOK:$GON,'Jordan, Michael'!$GYG:$GYJ,'Jordan, Michael'!$HIC:$HIF,'Jordan, Michael'!$HRY:$HSB,'Jordan, Michael'!$IBU:$IBX,'Jordan, Michael'!$ILQ:$ILT,'Jordan, Michael'!$IVM:$IVP,'Jordan, Michael'!$JFI:$JFL,'Jordan, Michael'!$JPE:$JPH,'Jordan, Michael'!$JZA:$JZD,'Jordan, Michael'!$KIW:$KIZ,'Jordan, Michael'!$KSS:$KSV,'Jordan, Michael'!$LCO:$LCR,'Jordan, Michael'!$LMK:$LMN,'Jordan, Michael'!$LWG:$LWJ,'Jordan, Michael'!$MGC:$MGF,'Jordan, Michael'!$MPY:$MQB,'Jordan, Michael'!$MZU:$MZX,'Jordan, Michael'!$NJQ:$NJT,'Jordan, Michael'!$NTM:$NTP,'Jordan, Michael'!$ODI:$ODL,'Jordan, Michael'!$ONE:$ONH,'Jordan, Michael'!$OXA:$OXD,'Jordan, Michael'!$PGW:$PGZ,'Jordan, Michael'!$PQS:$PQV,'Jordan, Michael'!$QAO:$QAR,'Jordan, Michael'!$QKK:$QKN,'Jordan, Michael'!$QUG:$QUJ,'Jordan, Michael'!$REC:$REF,'Jordan, Michael'!$RNY:$ROB,'Jordan, Michael'!$RXU:$RXX,'Jordan, Michael'!$SHQ:$SHT,'Jordan, Michael'!$SRM:$SRP,'Jordan, Michael'!$TBI:$TBL,'Jordan, Michael'!$TLE:$TLH,'Jordan, Michael'!$TVA:$TVD,'Jordan, Michael'!$UEW:$UEZ,'Jordan, Michael'!$UOS:$UOV,'Jordan, Michael'!$UYO:$UYR,'Jordan, Michael'!$VIK:$VIN,'Jordan, Michael'!$VSG:$VSJ,'Jordan, Michael'!$WCC:$WCF,'Jordan, Michael'!$WLY:$WMB,'Jordan, Michael'!$WVU:$WVX</definedName>
    <definedName name="Z_BA478993_72B7_49F8_A967_B5443FE6D752_.wvu.Cols" localSheetId="11" hidden="1">'Jordan, Michalel2'!#REF!,'Jordan, Michalel2'!$JD:$JG,'Jordan, Michalel2'!$SZ:$TC,'Jordan, Michalel2'!$ACV:$ACY,'Jordan, Michalel2'!$AMR:$AMU,'Jordan, Michalel2'!$AWN:$AWQ,'Jordan, Michalel2'!$BGJ:$BGM,'Jordan, Michalel2'!$BQF:$BQI,'Jordan, Michalel2'!$CAB:$CAE,'Jordan, Michalel2'!$CJX:$CKA,'Jordan, Michalel2'!$CTT:$CTW,'Jordan, Michalel2'!$DDP:$DDS,'Jordan, Michalel2'!$DNL:$DNO,'Jordan, Michalel2'!$DXH:$DXK,'Jordan, Michalel2'!$EHD:$EHG,'Jordan, Michalel2'!$EQZ:$ERC,'Jordan, Michalel2'!$FAV:$FAY,'Jordan, Michalel2'!$FKR:$FKU,'Jordan, Michalel2'!$FUN:$FUQ,'Jordan, Michalel2'!$GEJ:$GEM,'Jordan, Michalel2'!$GOF:$GOI,'Jordan, Michalel2'!$GYB:$GYE,'Jordan, Michalel2'!$HHX:$HIA,'Jordan, Michalel2'!$HRT:$HRW,'Jordan, Michalel2'!$IBP:$IBS,'Jordan, Michalel2'!$ILL:$ILO,'Jordan, Michalel2'!$IVH:$IVK,'Jordan, Michalel2'!$JFD:$JFG,'Jordan, Michalel2'!$JOZ:$JPC,'Jordan, Michalel2'!$JYV:$JYY,'Jordan, Michalel2'!$KIR:$KIU,'Jordan, Michalel2'!$KSN:$KSQ,'Jordan, Michalel2'!$LCJ:$LCM,'Jordan, Michalel2'!$LMF:$LMI,'Jordan, Michalel2'!$LWB:$LWE,'Jordan, Michalel2'!$MFX:$MGA,'Jordan, Michalel2'!$MPT:$MPW,'Jordan, Michalel2'!$MZP:$MZS,'Jordan, Michalel2'!$NJL:$NJO,'Jordan, Michalel2'!$NTH:$NTK,'Jordan, Michalel2'!$ODD:$ODG,'Jordan, Michalel2'!$OMZ:$ONC,'Jordan, Michalel2'!$OWV:$OWY,'Jordan, Michalel2'!$PGR:$PGU,'Jordan, Michalel2'!$PQN:$PQQ,'Jordan, Michalel2'!$QAJ:$QAM,'Jordan, Michalel2'!$QKF:$QKI,'Jordan, Michalel2'!$QUB:$QUE,'Jordan, Michalel2'!$RDX:$REA,'Jordan, Michalel2'!$RNT:$RNW,'Jordan, Michalel2'!$RXP:$RXS,'Jordan, Michalel2'!$SHL:$SHO,'Jordan, Michalel2'!$SRH:$SRK,'Jordan, Michalel2'!$TBD:$TBG,'Jordan, Michalel2'!$TKZ:$TLC,'Jordan, Michalel2'!$TUV:$TUY,'Jordan, Michalel2'!$UER:$UEU,'Jordan, Michalel2'!$UON:$UOQ,'Jordan, Michalel2'!$UYJ:$UYM,'Jordan, Michalel2'!$VIF:$VII,'Jordan, Michalel2'!$VSB:$VSE,'Jordan, Michalel2'!$WBX:$WCA,'Jordan, Michalel2'!$WLT:$WLW,'Jordan, Michalel2'!$WVP:$WVS</definedName>
    <definedName name="Z_BA478993_72B7_49F8_A967_B5443FE6D752_.wvu.Cols" localSheetId="12" hidden="1">'Manoranjan, V. 11.25.'!$L:$O,'Manoranjan, V. 11.25.'!$JH:$JK,'Manoranjan, V. 11.25.'!$TD:$TG,'Manoranjan, V. 11.25.'!$ACZ:$ADC,'Manoranjan, V. 11.25.'!$AMV:$AMY,'Manoranjan, V. 11.25.'!$AWR:$AWU,'Manoranjan, V. 11.25.'!$BGN:$BGQ,'Manoranjan, V. 11.25.'!$BQJ:$BQM,'Manoranjan, V. 11.25.'!$CAF:$CAI,'Manoranjan, V. 11.25.'!$CKB:$CKE,'Manoranjan, V. 11.25.'!$CTX:$CUA,'Manoranjan, V. 11.25.'!$DDT:$DDW,'Manoranjan, V. 11.25.'!$DNP:$DNS,'Manoranjan, V. 11.25.'!$DXL:$DXO,'Manoranjan, V. 11.25.'!$EHH:$EHK,'Manoranjan, V. 11.25.'!$ERD:$ERG,'Manoranjan, V. 11.25.'!$FAZ:$FBC,'Manoranjan, V. 11.25.'!$FKV:$FKY,'Manoranjan, V. 11.25.'!$FUR:$FUU,'Manoranjan, V. 11.25.'!$GEN:$GEQ,'Manoranjan, V. 11.25.'!$GOJ:$GOM,'Manoranjan, V. 11.25.'!$GYF:$GYI,'Manoranjan, V. 11.25.'!$HIB:$HIE,'Manoranjan, V. 11.25.'!$HRX:$HSA,'Manoranjan, V. 11.25.'!$IBT:$IBW,'Manoranjan, V. 11.25.'!$ILP:$ILS,'Manoranjan, V. 11.25.'!$IVL:$IVO,'Manoranjan, V. 11.25.'!$JFH:$JFK,'Manoranjan, V. 11.25.'!$JPD:$JPG,'Manoranjan, V. 11.25.'!$JYZ:$JZC,'Manoranjan, V. 11.25.'!$KIV:$KIY,'Manoranjan, V. 11.25.'!$KSR:$KSU,'Manoranjan, V. 11.25.'!$LCN:$LCQ,'Manoranjan, V. 11.25.'!$LMJ:$LMM,'Manoranjan, V. 11.25.'!$LWF:$LWI,'Manoranjan, V. 11.25.'!$MGB:$MGE,'Manoranjan, V. 11.25.'!$MPX:$MQA,'Manoranjan, V. 11.25.'!$MZT:$MZW,'Manoranjan, V. 11.25.'!$NJP:$NJS,'Manoranjan, V. 11.25.'!$NTL:$NTO,'Manoranjan, V. 11.25.'!$ODH:$ODK,'Manoranjan, V. 11.25.'!$OND:$ONG,'Manoranjan, V. 11.25.'!$OWZ:$OXC,'Manoranjan, V. 11.25.'!$PGV:$PGY,'Manoranjan, V. 11.25.'!$PQR:$PQU,'Manoranjan, V. 11.25.'!$QAN:$QAQ,'Manoranjan, V. 11.25.'!$QKJ:$QKM,'Manoranjan, V. 11.25.'!$QUF:$QUI,'Manoranjan, V. 11.25.'!$REB:$REE,'Manoranjan, V. 11.25.'!$RNX:$ROA,'Manoranjan, V. 11.25.'!$RXT:$RXW,'Manoranjan, V. 11.25.'!$SHP:$SHS,'Manoranjan, V. 11.25.'!$SRL:$SRO,'Manoranjan, V. 11.25.'!$TBH:$TBK,'Manoranjan, V. 11.25.'!$TLD:$TLG,'Manoranjan, V. 11.25.'!$TUZ:$TVC,'Manoranjan, V. 11.25.'!$UEV:$UEY,'Manoranjan, V. 11.25.'!$UOR:$UOU,'Manoranjan, V. 11.25.'!$UYN:$UYQ,'Manoranjan, V. 11.25.'!$VIJ:$VIM,'Manoranjan, V. 11.25.'!$VSF:$VSI,'Manoranjan, V. 11.25.'!$WCB:$WCE,'Manoranjan, V. 11.25.'!$WLX:$WMA,'Manoranjan, V. 11.25.'!$WVT:$WVW</definedName>
    <definedName name="Z_BA478993_72B7_49F8_A967_B5443FE6D752_.wvu.Cols" localSheetId="13" hidden="1">'Max of Salary ex.'!$I:$L,'Max of Salary ex.'!$JD:$JG,'Max of Salary ex.'!$SZ:$TC,'Max of Salary ex.'!$ACV:$ACY,'Max of Salary ex.'!$AMR:$AMU,'Max of Salary ex.'!$AWN:$AWQ,'Max of Salary ex.'!$BGJ:$BGM,'Max of Salary ex.'!$BQF:$BQI,'Max of Salary ex.'!$CAB:$CAE,'Max of Salary ex.'!$CJX:$CKA,'Max of Salary ex.'!$CTT:$CTW,'Max of Salary ex.'!$DDP:$DDS,'Max of Salary ex.'!$DNL:$DNO,'Max of Salary ex.'!$DXH:$DXK,'Max of Salary ex.'!$EHD:$EHG,'Max of Salary ex.'!$EQZ:$ERC,'Max of Salary ex.'!$FAV:$FAY,'Max of Salary ex.'!$FKR:$FKU,'Max of Salary ex.'!$FUN:$FUQ,'Max of Salary ex.'!$GEJ:$GEM,'Max of Salary ex.'!$GOF:$GOI,'Max of Salary ex.'!$GYB:$GYE,'Max of Salary ex.'!$HHX:$HIA,'Max of Salary ex.'!$HRT:$HRW,'Max of Salary ex.'!$IBP:$IBS,'Max of Salary ex.'!$ILL:$ILO,'Max of Salary ex.'!$IVH:$IVK,'Max of Salary ex.'!$JFD:$JFG,'Max of Salary ex.'!$JOZ:$JPC,'Max of Salary ex.'!$JYV:$JYY,'Max of Salary ex.'!$KIR:$KIU,'Max of Salary ex.'!$KSN:$KSQ,'Max of Salary ex.'!$LCJ:$LCM,'Max of Salary ex.'!$LMF:$LMI,'Max of Salary ex.'!$LWB:$LWE,'Max of Salary ex.'!$MFX:$MGA,'Max of Salary ex.'!$MPT:$MPW,'Max of Salary ex.'!$MZP:$MZS,'Max of Salary ex.'!$NJL:$NJO,'Max of Salary ex.'!$NTH:$NTK,'Max of Salary ex.'!$ODD:$ODG,'Max of Salary ex.'!$OMZ:$ONC,'Max of Salary ex.'!$OWV:$OWY,'Max of Salary ex.'!$PGR:$PGU,'Max of Salary ex.'!$PQN:$PQQ,'Max of Salary ex.'!$QAJ:$QAM,'Max of Salary ex.'!$QKF:$QKI,'Max of Salary ex.'!$QUB:$QUE,'Max of Salary ex.'!$RDX:$REA,'Max of Salary ex.'!$RNT:$RNW,'Max of Salary ex.'!$RXP:$RXS,'Max of Salary ex.'!$SHL:$SHO,'Max of Salary ex.'!$SRH:$SRK,'Max of Salary ex.'!$TBD:$TBG,'Max of Salary ex.'!$TKZ:$TLC,'Max of Salary ex.'!$TUV:$TUY,'Max of Salary ex.'!$UER:$UEU,'Max of Salary ex.'!$UON:$UOQ,'Max of Salary ex.'!$UYJ:$UYM,'Max of Salary ex.'!$VIF:$VII,'Max of Salary ex.'!$VSB:$VSE,'Max of Salary ex.'!$WBX:$WCA,'Max of Salary ex.'!$WLT:$WLW,'Max of Salary ex.'!$WVP:$WVS</definedName>
    <definedName name="Z_BA478993_72B7_49F8_A967_B5443FE6D752_.wvu.Cols" localSheetId="14" hidden="1">'Max of Salary ex.  (2)'!$I:$L,'Max of Salary ex.  (2)'!$JD:$JG,'Max of Salary ex.  (2)'!$SZ:$TC,'Max of Salary ex.  (2)'!$ACV:$ACY,'Max of Salary ex.  (2)'!$AMR:$AMU,'Max of Salary ex.  (2)'!$AWN:$AWQ,'Max of Salary ex.  (2)'!$BGJ:$BGM,'Max of Salary ex.  (2)'!$BQF:$BQI,'Max of Salary ex.  (2)'!$CAB:$CAE,'Max of Salary ex.  (2)'!$CJX:$CKA,'Max of Salary ex.  (2)'!$CTT:$CTW,'Max of Salary ex.  (2)'!$DDP:$DDS,'Max of Salary ex.  (2)'!$DNL:$DNO,'Max of Salary ex.  (2)'!$DXH:$DXK,'Max of Salary ex.  (2)'!$EHD:$EHG,'Max of Salary ex.  (2)'!$EQZ:$ERC,'Max of Salary ex.  (2)'!$FAV:$FAY,'Max of Salary ex.  (2)'!$FKR:$FKU,'Max of Salary ex.  (2)'!$FUN:$FUQ,'Max of Salary ex.  (2)'!$GEJ:$GEM,'Max of Salary ex.  (2)'!$GOF:$GOI,'Max of Salary ex.  (2)'!$GYB:$GYE,'Max of Salary ex.  (2)'!$HHX:$HIA,'Max of Salary ex.  (2)'!$HRT:$HRW,'Max of Salary ex.  (2)'!$IBP:$IBS,'Max of Salary ex.  (2)'!$ILL:$ILO,'Max of Salary ex.  (2)'!$IVH:$IVK,'Max of Salary ex.  (2)'!$JFD:$JFG,'Max of Salary ex.  (2)'!$JOZ:$JPC,'Max of Salary ex.  (2)'!$JYV:$JYY,'Max of Salary ex.  (2)'!$KIR:$KIU,'Max of Salary ex.  (2)'!$KSN:$KSQ,'Max of Salary ex.  (2)'!$LCJ:$LCM,'Max of Salary ex.  (2)'!$LMF:$LMI,'Max of Salary ex.  (2)'!$LWB:$LWE,'Max of Salary ex.  (2)'!$MFX:$MGA,'Max of Salary ex.  (2)'!$MPT:$MPW,'Max of Salary ex.  (2)'!$MZP:$MZS,'Max of Salary ex.  (2)'!$NJL:$NJO,'Max of Salary ex.  (2)'!$NTH:$NTK,'Max of Salary ex.  (2)'!$ODD:$ODG,'Max of Salary ex.  (2)'!$OMZ:$ONC,'Max of Salary ex.  (2)'!$OWV:$OWY,'Max of Salary ex.  (2)'!$PGR:$PGU,'Max of Salary ex.  (2)'!$PQN:$PQQ,'Max of Salary ex.  (2)'!$QAJ:$QAM,'Max of Salary ex.  (2)'!$QKF:$QKI,'Max of Salary ex.  (2)'!$QUB:$QUE,'Max of Salary ex.  (2)'!$RDX:$REA,'Max of Salary ex.  (2)'!$RNT:$RNW,'Max of Salary ex.  (2)'!$RXP:$RXS,'Max of Salary ex.  (2)'!$SHL:$SHO,'Max of Salary ex.  (2)'!$SRH:$SRK,'Max of Salary ex.  (2)'!$TBD:$TBG,'Max of Salary ex.  (2)'!$TKZ:$TLC,'Max of Salary ex.  (2)'!$TUV:$TUY,'Max of Salary ex.  (2)'!$UER:$UEU,'Max of Salary ex.  (2)'!$UON:$UOQ,'Max of Salary ex.  (2)'!$UYJ:$UYM,'Max of Salary ex.  (2)'!$VIF:$VII,'Max of Salary ex.  (2)'!$VSB:$VSE,'Max of Salary ex.  (2)'!$WBX:$WCA,'Max of Salary ex.  (2)'!$WLT:$WLW,'Max of Salary ex.  (2)'!$WVP:$WVS</definedName>
    <definedName name="Z_BA478993_72B7_49F8_A967_B5443FE6D752_.wvu.Cols" localSheetId="15" hidden="1">'Max of Salary ex. 2'!$I:$L,'Max of Salary ex. 2'!$JE:$JH,'Max of Salary ex. 2'!$TA:$TD,'Max of Salary ex. 2'!$ACW:$ACZ,'Max of Salary ex. 2'!$AMS:$AMV,'Max of Salary ex. 2'!$AWO:$AWR,'Max of Salary ex. 2'!$BGK:$BGN,'Max of Salary ex. 2'!$BQG:$BQJ,'Max of Salary ex. 2'!$CAC:$CAF,'Max of Salary ex. 2'!$CJY:$CKB,'Max of Salary ex. 2'!$CTU:$CTX,'Max of Salary ex. 2'!$DDQ:$DDT,'Max of Salary ex. 2'!$DNM:$DNP,'Max of Salary ex. 2'!$DXI:$DXL,'Max of Salary ex. 2'!$EHE:$EHH,'Max of Salary ex. 2'!$ERA:$ERD,'Max of Salary ex. 2'!$FAW:$FAZ,'Max of Salary ex. 2'!$FKS:$FKV,'Max of Salary ex. 2'!$FUO:$FUR,'Max of Salary ex. 2'!$GEK:$GEN,'Max of Salary ex. 2'!$GOG:$GOJ,'Max of Salary ex. 2'!$GYC:$GYF,'Max of Salary ex. 2'!$HHY:$HIB,'Max of Salary ex. 2'!$HRU:$HRX,'Max of Salary ex. 2'!$IBQ:$IBT,'Max of Salary ex. 2'!$ILM:$ILP,'Max of Salary ex. 2'!$IVI:$IVL,'Max of Salary ex. 2'!$JFE:$JFH,'Max of Salary ex. 2'!$JPA:$JPD,'Max of Salary ex. 2'!$JYW:$JYZ,'Max of Salary ex. 2'!$KIS:$KIV,'Max of Salary ex. 2'!$KSO:$KSR,'Max of Salary ex. 2'!$LCK:$LCN,'Max of Salary ex. 2'!$LMG:$LMJ,'Max of Salary ex. 2'!$LWC:$LWF,'Max of Salary ex. 2'!$MFY:$MGB,'Max of Salary ex. 2'!$MPU:$MPX,'Max of Salary ex. 2'!$MZQ:$MZT,'Max of Salary ex. 2'!$NJM:$NJP,'Max of Salary ex. 2'!$NTI:$NTL,'Max of Salary ex. 2'!$ODE:$ODH,'Max of Salary ex. 2'!$ONA:$OND,'Max of Salary ex. 2'!$OWW:$OWZ,'Max of Salary ex. 2'!$PGS:$PGV,'Max of Salary ex. 2'!$PQO:$PQR,'Max of Salary ex. 2'!$QAK:$QAN,'Max of Salary ex. 2'!$QKG:$QKJ,'Max of Salary ex. 2'!$QUC:$QUF,'Max of Salary ex. 2'!$RDY:$REB,'Max of Salary ex. 2'!$RNU:$RNX,'Max of Salary ex. 2'!$RXQ:$RXT,'Max of Salary ex. 2'!$SHM:$SHP,'Max of Salary ex. 2'!$SRI:$SRL,'Max of Salary ex. 2'!$TBE:$TBH,'Max of Salary ex. 2'!$TLA:$TLD,'Max of Salary ex. 2'!$TUW:$TUZ,'Max of Salary ex. 2'!$UES:$UEV,'Max of Salary ex. 2'!$UOO:$UOR,'Max of Salary ex. 2'!$UYK:$UYN,'Max of Salary ex. 2'!$VIG:$VIJ,'Max of Salary ex. 2'!$VSC:$VSF,'Max of Salary ex. 2'!$WBY:$WCB,'Max of Salary ex. 2'!$WLU:$WLX,'Max of Salary ex. 2'!$WVQ:$WVT</definedName>
    <definedName name="Z_BA478993_72B7_49F8_A967_B5443FE6D752_.wvu.Cols" localSheetId="16" hidden="1">'Max of Salary ex. 2.'!$I:$L,'Max of Salary ex. 2.'!$JE:$JH,'Max of Salary ex. 2.'!$TA:$TD,'Max of Salary ex. 2.'!$ACW:$ACZ,'Max of Salary ex. 2.'!$AMS:$AMV,'Max of Salary ex. 2.'!$AWO:$AWR,'Max of Salary ex. 2.'!$BGK:$BGN,'Max of Salary ex. 2.'!$BQG:$BQJ,'Max of Salary ex. 2.'!$CAC:$CAF,'Max of Salary ex. 2.'!$CJY:$CKB,'Max of Salary ex. 2.'!$CTU:$CTX,'Max of Salary ex. 2.'!$DDQ:$DDT,'Max of Salary ex. 2.'!$DNM:$DNP,'Max of Salary ex. 2.'!$DXI:$DXL,'Max of Salary ex. 2.'!$EHE:$EHH,'Max of Salary ex. 2.'!$ERA:$ERD,'Max of Salary ex. 2.'!$FAW:$FAZ,'Max of Salary ex. 2.'!$FKS:$FKV,'Max of Salary ex. 2.'!$FUO:$FUR,'Max of Salary ex. 2.'!$GEK:$GEN,'Max of Salary ex. 2.'!$GOG:$GOJ,'Max of Salary ex. 2.'!$GYC:$GYF,'Max of Salary ex. 2.'!$HHY:$HIB,'Max of Salary ex. 2.'!$HRU:$HRX,'Max of Salary ex. 2.'!$IBQ:$IBT,'Max of Salary ex. 2.'!$ILM:$ILP,'Max of Salary ex. 2.'!$IVI:$IVL,'Max of Salary ex. 2.'!$JFE:$JFH,'Max of Salary ex. 2.'!$JPA:$JPD,'Max of Salary ex. 2.'!$JYW:$JYZ,'Max of Salary ex. 2.'!$KIS:$KIV,'Max of Salary ex. 2.'!$KSO:$KSR,'Max of Salary ex. 2.'!$LCK:$LCN,'Max of Salary ex. 2.'!$LMG:$LMJ,'Max of Salary ex. 2.'!$LWC:$LWF,'Max of Salary ex. 2.'!$MFY:$MGB,'Max of Salary ex. 2.'!$MPU:$MPX,'Max of Salary ex. 2.'!$MZQ:$MZT,'Max of Salary ex. 2.'!$NJM:$NJP,'Max of Salary ex. 2.'!$NTI:$NTL,'Max of Salary ex. 2.'!$ODE:$ODH,'Max of Salary ex. 2.'!$ONA:$OND,'Max of Salary ex. 2.'!$OWW:$OWZ,'Max of Salary ex. 2.'!$PGS:$PGV,'Max of Salary ex. 2.'!$PQO:$PQR,'Max of Salary ex. 2.'!$QAK:$QAN,'Max of Salary ex. 2.'!$QKG:$QKJ,'Max of Salary ex. 2.'!$QUC:$QUF,'Max of Salary ex. 2.'!$RDY:$REB,'Max of Salary ex. 2.'!$RNU:$RNX,'Max of Salary ex. 2.'!$RXQ:$RXT,'Max of Salary ex. 2.'!$SHM:$SHP,'Max of Salary ex. 2.'!$SRI:$SRL,'Max of Salary ex. 2.'!$TBE:$TBH,'Max of Salary ex. 2.'!$TLA:$TLD,'Max of Salary ex. 2.'!$TUW:$TUZ,'Max of Salary ex. 2.'!$UES:$UEV,'Max of Salary ex. 2.'!$UOO:$UOR,'Max of Salary ex. 2.'!$UYK:$UYN,'Max of Salary ex. 2.'!$VIG:$VIJ,'Max of Salary ex. 2.'!$VSC:$VSF,'Max of Salary ex. 2.'!$WBY:$WCB,'Max of Salary ex. 2.'!$WLU:$WLX,'Max of Salary ex. 2.'!$WVQ:$WVT</definedName>
    <definedName name="Z_BA478993_72B7_49F8_A967_B5443FE6D752_.wvu.Cols" localSheetId="17" hidden="1">'McClusky 11.25.'!#REF!,'McClusky 11.25.'!$JD:$JG,'McClusky 11.25.'!$SZ:$TC,'McClusky 11.25.'!$ACV:$ACY,'McClusky 11.25.'!$AMR:$AMU,'McClusky 11.25.'!$AWN:$AWQ,'McClusky 11.25.'!$BGJ:$BGM,'McClusky 11.25.'!$BQF:$BQI,'McClusky 11.25.'!$CAB:$CAE,'McClusky 11.25.'!$CJX:$CKA,'McClusky 11.25.'!$CTT:$CTW,'McClusky 11.25.'!$DDP:$DDS,'McClusky 11.25.'!$DNL:$DNO,'McClusky 11.25.'!$DXH:$DXK,'McClusky 11.25.'!$EHD:$EHG,'McClusky 11.25.'!$EQZ:$ERC,'McClusky 11.25.'!$FAV:$FAY,'McClusky 11.25.'!$FKR:$FKU,'McClusky 11.25.'!$FUN:$FUQ,'McClusky 11.25.'!$GEJ:$GEM,'McClusky 11.25.'!$GOF:$GOI,'McClusky 11.25.'!$GYB:$GYE,'McClusky 11.25.'!$HHX:$HIA,'McClusky 11.25.'!$HRT:$HRW,'McClusky 11.25.'!$IBP:$IBS,'McClusky 11.25.'!$ILL:$ILO,'McClusky 11.25.'!$IVH:$IVK,'McClusky 11.25.'!$JFD:$JFG,'McClusky 11.25.'!$JOZ:$JPC,'McClusky 11.25.'!$JYV:$JYY,'McClusky 11.25.'!$KIR:$KIU,'McClusky 11.25.'!$KSN:$KSQ,'McClusky 11.25.'!$LCJ:$LCM,'McClusky 11.25.'!$LMF:$LMI,'McClusky 11.25.'!$LWB:$LWE,'McClusky 11.25.'!$MFX:$MGA,'McClusky 11.25.'!$MPT:$MPW,'McClusky 11.25.'!$MZP:$MZS,'McClusky 11.25.'!$NJL:$NJO,'McClusky 11.25.'!$NTH:$NTK,'McClusky 11.25.'!$ODD:$ODG,'McClusky 11.25.'!$OMZ:$ONC,'McClusky 11.25.'!$OWV:$OWY,'McClusky 11.25.'!$PGR:$PGU,'McClusky 11.25.'!$PQN:$PQQ,'McClusky 11.25.'!$QAJ:$QAM,'McClusky 11.25.'!$QKF:$QKI,'McClusky 11.25.'!$QUB:$QUE,'McClusky 11.25.'!$RDX:$REA,'McClusky 11.25.'!$RNT:$RNW,'McClusky 11.25.'!$RXP:$RXS,'McClusky 11.25.'!$SHL:$SHO,'McClusky 11.25.'!$SRH:$SRK,'McClusky 11.25.'!$TBD:$TBG,'McClusky 11.25.'!$TKZ:$TLC,'McClusky 11.25.'!$TUV:$TUY,'McClusky 11.25.'!$UER:$UEU,'McClusky 11.25.'!$UON:$UOQ,'McClusky 11.25.'!$UYJ:$UYM,'McClusky 11.25.'!$VIF:$VII,'McClusky 11.25.'!$VSB:$VSE,'McClusky 11.25.'!$WBX:$WCA,'McClusky 11.25.'!$WLT:$WLW,'McClusky 11.25.'!$WVP:$WVS</definedName>
    <definedName name="Z_BA478993_72B7_49F8_A967_B5443FE6D752_.wvu.Cols" localSheetId="18" hidden="1">'McDonald (2)'!$K:$N,'McDonald (2)'!$JG:$JJ,'McDonald (2)'!$TC:$TF,'McDonald (2)'!$ACY:$ADB,'McDonald (2)'!$AMU:$AMX,'McDonald (2)'!$AWQ:$AWT,'McDonald (2)'!$BGM:$BGP,'McDonald (2)'!$BQI:$BQL,'McDonald (2)'!$CAE:$CAH,'McDonald (2)'!$CKA:$CKD,'McDonald (2)'!$CTW:$CTZ,'McDonald (2)'!$DDS:$DDV,'McDonald (2)'!$DNO:$DNR,'McDonald (2)'!$DXK:$DXN,'McDonald (2)'!$EHG:$EHJ,'McDonald (2)'!$ERC:$ERF,'McDonald (2)'!$FAY:$FBB,'McDonald (2)'!$FKU:$FKX,'McDonald (2)'!$FUQ:$FUT,'McDonald (2)'!$GEM:$GEP,'McDonald (2)'!$GOI:$GOL,'McDonald (2)'!$GYE:$GYH,'McDonald (2)'!$HIA:$HID,'McDonald (2)'!$HRW:$HRZ,'McDonald (2)'!$IBS:$IBV,'McDonald (2)'!$ILO:$ILR,'McDonald (2)'!$IVK:$IVN,'McDonald (2)'!$JFG:$JFJ,'McDonald (2)'!$JPC:$JPF,'McDonald (2)'!$JYY:$JZB,'McDonald (2)'!$KIU:$KIX,'McDonald (2)'!$KSQ:$KST,'McDonald (2)'!$LCM:$LCP,'McDonald (2)'!$LMI:$LML,'McDonald (2)'!$LWE:$LWH,'McDonald (2)'!$MGA:$MGD,'McDonald (2)'!$MPW:$MPZ,'McDonald (2)'!$MZS:$MZV,'McDonald (2)'!$NJO:$NJR,'McDonald (2)'!$NTK:$NTN,'McDonald (2)'!$ODG:$ODJ,'McDonald (2)'!$ONC:$ONF,'McDonald (2)'!$OWY:$OXB,'McDonald (2)'!$PGU:$PGX,'McDonald (2)'!$PQQ:$PQT,'McDonald (2)'!$QAM:$QAP,'McDonald (2)'!$QKI:$QKL,'McDonald (2)'!$QUE:$QUH,'McDonald (2)'!$REA:$RED,'McDonald (2)'!$RNW:$RNZ,'McDonald (2)'!$RXS:$RXV,'McDonald (2)'!$SHO:$SHR,'McDonald (2)'!$SRK:$SRN,'McDonald (2)'!$TBG:$TBJ,'McDonald (2)'!$TLC:$TLF,'McDonald (2)'!$TUY:$TVB,'McDonald (2)'!$UEU:$UEX,'McDonald (2)'!$UOQ:$UOT,'McDonald (2)'!$UYM:$UYP,'McDonald (2)'!$VII:$VIL,'McDonald (2)'!$VSE:$VSH,'McDonald (2)'!$WCA:$WCD,'McDonald (2)'!$WLW:$WLZ,'McDonald (2)'!$WVS:$WVV</definedName>
    <definedName name="Z_BA478993_72B7_49F8_A967_B5443FE6D752_.wvu.Cols" localSheetId="19" hidden="1">Netzhammer!$K:$N,Netzhammer!$JG:$JJ,Netzhammer!$TC:$TF,Netzhammer!$ACY:$ADB,Netzhammer!$AMU:$AMX,Netzhammer!$AWQ:$AWT,Netzhammer!$BGM:$BGP,Netzhammer!$BQI:$BQL,Netzhammer!$CAE:$CAH,Netzhammer!$CKA:$CKD,Netzhammer!$CTW:$CTZ,Netzhammer!$DDS:$DDV,Netzhammer!$DNO:$DNR,Netzhammer!$DXK:$DXN,Netzhammer!$EHG:$EHJ,Netzhammer!$ERC:$ERF,Netzhammer!$FAY:$FBB,Netzhammer!$FKU:$FKX,Netzhammer!$FUQ:$FUT,Netzhammer!$GEM:$GEP,Netzhammer!$GOI:$GOL,Netzhammer!$GYE:$GYH,Netzhammer!$HIA:$HID,Netzhammer!$HRW:$HRZ,Netzhammer!$IBS:$IBV,Netzhammer!$ILO:$ILR,Netzhammer!$IVK:$IVN,Netzhammer!$JFG:$JFJ,Netzhammer!$JPC:$JPF,Netzhammer!$JYY:$JZB,Netzhammer!$KIU:$KIX,Netzhammer!$KSQ:$KST,Netzhammer!$LCM:$LCP,Netzhammer!$LMI:$LML,Netzhammer!$LWE:$LWH,Netzhammer!$MGA:$MGD,Netzhammer!$MPW:$MPZ,Netzhammer!$MZS:$MZV,Netzhammer!$NJO:$NJR,Netzhammer!$NTK:$NTN,Netzhammer!$ODG:$ODJ,Netzhammer!$ONC:$ONF,Netzhammer!$OWY:$OXB,Netzhammer!$PGU:$PGX,Netzhammer!$PQQ:$PQT,Netzhammer!$QAM:$QAP,Netzhammer!$QKI:$QKL,Netzhammer!$QUE:$QUH,Netzhammer!$REA:$RED,Netzhammer!$RNW:$RNZ,Netzhammer!$RXS:$RXV,Netzhammer!$SHO:$SHR,Netzhammer!$SRK:$SRN,Netzhammer!$TBG:$TBJ,Netzhammer!$TLC:$TLF,Netzhammer!$TUY:$TVB,Netzhammer!$UEU:$UEX,Netzhammer!$UOQ:$UOT,Netzhammer!$UYM:$UYP,Netzhammer!$VII:$VIL,Netzhammer!$VSE:$VSH,Netzhammer!$WCA:$WCD,Netzhammer!$WLW:$WLZ,Netzhammer!$WVS:$WVV</definedName>
    <definedName name="Z_BA478993_72B7_49F8_A967_B5443FE6D752_.wvu.Cols" localSheetId="21" hidden="1">'Sanders 12.10 (SK)'!#REF!,'Sanders 12.10 (SK)'!$JD:$JG,'Sanders 12.10 (SK)'!$SZ:$TC,'Sanders 12.10 (SK)'!$ACV:$ACY,'Sanders 12.10 (SK)'!$AMR:$AMU,'Sanders 12.10 (SK)'!$AWN:$AWQ,'Sanders 12.10 (SK)'!$BGJ:$BGM,'Sanders 12.10 (SK)'!$BQF:$BQI,'Sanders 12.10 (SK)'!$CAB:$CAE,'Sanders 12.10 (SK)'!$CJX:$CKA,'Sanders 12.10 (SK)'!$CTT:$CTW,'Sanders 12.10 (SK)'!$DDP:$DDS,'Sanders 12.10 (SK)'!$DNL:$DNO,'Sanders 12.10 (SK)'!$DXH:$DXK,'Sanders 12.10 (SK)'!$EHD:$EHG,'Sanders 12.10 (SK)'!$EQZ:$ERC,'Sanders 12.10 (SK)'!$FAV:$FAY,'Sanders 12.10 (SK)'!$FKR:$FKU,'Sanders 12.10 (SK)'!$FUN:$FUQ,'Sanders 12.10 (SK)'!$GEJ:$GEM,'Sanders 12.10 (SK)'!$GOF:$GOI,'Sanders 12.10 (SK)'!$GYB:$GYE,'Sanders 12.10 (SK)'!$HHX:$HIA,'Sanders 12.10 (SK)'!$HRT:$HRW,'Sanders 12.10 (SK)'!$IBP:$IBS,'Sanders 12.10 (SK)'!$ILL:$ILO,'Sanders 12.10 (SK)'!$IVH:$IVK,'Sanders 12.10 (SK)'!$JFD:$JFG,'Sanders 12.10 (SK)'!$JOZ:$JPC,'Sanders 12.10 (SK)'!$JYV:$JYY,'Sanders 12.10 (SK)'!$KIR:$KIU,'Sanders 12.10 (SK)'!$KSN:$KSQ,'Sanders 12.10 (SK)'!$LCJ:$LCM,'Sanders 12.10 (SK)'!$LMF:$LMI,'Sanders 12.10 (SK)'!$LWB:$LWE,'Sanders 12.10 (SK)'!$MFX:$MGA,'Sanders 12.10 (SK)'!$MPT:$MPW,'Sanders 12.10 (SK)'!$MZP:$MZS,'Sanders 12.10 (SK)'!$NJL:$NJO,'Sanders 12.10 (SK)'!$NTH:$NTK,'Sanders 12.10 (SK)'!$ODD:$ODG,'Sanders 12.10 (SK)'!$OMZ:$ONC,'Sanders 12.10 (SK)'!$OWV:$OWY,'Sanders 12.10 (SK)'!$PGR:$PGU,'Sanders 12.10 (SK)'!$PQN:$PQQ,'Sanders 12.10 (SK)'!$QAJ:$QAM,'Sanders 12.10 (SK)'!$QKF:$QKI,'Sanders 12.10 (SK)'!$QUB:$QUE,'Sanders 12.10 (SK)'!$RDX:$REA,'Sanders 12.10 (SK)'!$RNT:$RNW,'Sanders 12.10 (SK)'!$RXP:$RXS,'Sanders 12.10 (SK)'!$SHL:$SHO,'Sanders 12.10 (SK)'!$SRH:$SRK,'Sanders 12.10 (SK)'!$TBD:$TBG,'Sanders 12.10 (SK)'!$TKZ:$TLC,'Sanders 12.10 (SK)'!$TUV:$TUY,'Sanders 12.10 (SK)'!$UER:$UEU,'Sanders 12.10 (SK)'!$UON:$UOQ,'Sanders 12.10 (SK)'!$UYJ:$UYM,'Sanders 12.10 (SK)'!$VIF:$VII,'Sanders 12.10 (SK)'!$VSB:$VSE,'Sanders 12.10 (SK)'!$WBX:$WCA,'Sanders 12.10 (SK)'!$WLT:$WLW,'Sanders 12.10 (SK)'!$WVP:$WVS</definedName>
    <definedName name="Z_BA478993_72B7_49F8_A967_B5443FE6D752_.wvu.Cols" localSheetId="22" hidden="1">'Schulz, N'!$K:$N,'Schulz, N'!$JG:$JJ,'Schulz, N'!$TC:$TF,'Schulz, N'!$ACY:$ADB,'Schulz, N'!$AMU:$AMX,'Schulz, N'!$AWQ:$AWT,'Schulz, N'!$BGM:$BGP,'Schulz, N'!$BQI:$BQL,'Schulz, N'!$CAE:$CAH,'Schulz, N'!$CKA:$CKD,'Schulz, N'!$CTW:$CTZ,'Schulz, N'!$DDS:$DDV,'Schulz, N'!$DNO:$DNR,'Schulz, N'!$DXK:$DXN,'Schulz, N'!$EHG:$EHJ,'Schulz, N'!$ERC:$ERF,'Schulz, N'!$FAY:$FBB,'Schulz, N'!$FKU:$FKX,'Schulz, N'!$FUQ:$FUT,'Schulz, N'!$GEM:$GEP,'Schulz, N'!$GOI:$GOL,'Schulz, N'!$GYE:$GYH,'Schulz, N'!$HIA:$HID,'Schulz, N'!$HRW:$HRZ,'Schulz, N'!$IBS:$IBV,'Schulz, N'!$ILO:$ILR,'Schulz, N'!$IVK:$IVN,'Schulz, N'!$JFG:$JFJ,'Schulz, N'!$JPC:$JPF,'Schulz, N'!$JYY:$JZB,'Schulz, N'!$KIU:$KIX,'Schulz, N'!$KSQ:$KST,'Schulz, N'!$LCM:$LCP,'Schulz, N'!$LMI:$LML,'Schulz, N'!$LWE:$LWH,'Schulz, N'!$MGA:$MGD,'Schulz, N'!$MPW:$MPZ,'Schulz, N'!$MZS:$MZV,'Schulz, N'!$NJO:$NJR,'Schulz, N'!$NTK:$NTN,'Schulz, N'!$ODG:$ODJ,'Schulz, N'!$ONC:$ONF,'Schulz, N'!$OWY:$OXB,'Schulz, N'!$PGU:$PGX,'Schulz, N'!$PQQ:$PQT,'Schulz, N'!$QAM:$QAP,'Schulz, N'!$QKI:$QKL,'Schulz, N'!$QUE:$QUH,'Schulz, N'!$REA:$RED,'Schulz, N'!$RNW:$RNZ,'Schulz, N'!$RXS:$RXV,'Schulz, N'!$SHO:$SHR,'Schulz, N'!$SRK:$SRN,'Schulz, N'!$TBG:$TBJ,'Schulz, N'!$TLC:$TLF,'Schulz, N'!$TUY:$TVB,'Schulz, N'!$UEU:$UEX,'Schulz, N'!$UOQ:$UOT,'Schulz, N'!$UYM:$UYP,'Schulz, N'!$VII:$VIL,'Schulz, N'!$VSE:$VSH,'Schulz, N'!$WCA:$WCD,'Schulz, N'!$WLW:$WLZ,'Schulz, N'!$WVS:$WVV</definedName>
    <definedName name="Z_BA478993_72B7_49F8_A967_B5443FE6D752_.wvu.Cols" localSheetId="23" hidden="1">'Smith, Lloyd 11.25.'!#REF!,'Smith, Lloyd 11.25.'!$JD:$JG,'Smith, Lloyd 11.25.'!$SZ:$TC,'Smith, Lloyd 11.25.'!$ACV:$ACY,'Smith, Lloyd 11.25.'!$AMR:$AMU,'Smith, Lloyd 11.25.'!$AWN:$AWQ,'Smith, Lloyd 11.25.'!$BGJ:$BGM,'Smith, Lloyd 11.25.'!$BQF:$BQI,'Smith, Lloyd 11.25.'!$CAB:$CAE,'Smith, Lloyd 11.25.'!$CJX:$CKA,'Smith, Lloyd 11.25.'!$CTT:$CTW,'Smith, Lloyd 11.25.'!$DDP:$DDS,'Smith, Lloyd 11.25.'!$DNL:$DNO,'Smith, Lloyd 11.25.'!$DXH:$DXK,'Smith, Lloyd 11.25.'!$EHD:$EHG,'Smith, Lloyd 11.25.'!$EQZ:$ERC,'Smith, Lloyd 11.25.'!$FAV:$FAY,'Smith, Lloyd 11.25.'!$FKR:$FKU,'Smith, Lloyd 11.25.'!$FUN:$FUQ,'Smith, Lloyd 11.25.'!$GEJ:$GEM,'Smith, Lloyd 11.25.'!$GOF:$GOI,'Smith, Lloyd 11.25.'!$GYB:$GYE,'Smith, Lloyd 11.25.'!$HHX:$HIA,'Smith, Lloyd 11.25.'!$HRT:$HRW,'Smith, Lloyd 11.25.'!$IBP:$IBS,'Smith, Lloyd 11.25.'!$ILL:$ILO,'Smith, Lloyd 11.25.'!$IVH:$IVK,'Smith, Lloyd 11.25.'!$JFD:$JFG,'Smith, Lloyd 11.25.'!$JOZ:$JPC,'Smith, Lloyd 11.25.'!$JYV:$JYY,'Smith, Lloyd 11.25.'!$KIR:$KIU,'Smith, Lloyd 11.25.'!$KSN:$KSQ,'Smith, Lloyd 11.25.'!$LCJ:$LCM,'Smith, Lloyd 11.25.'!$LMF:$LMI,'Smith, Lloyd 11.25.'!$LWB:$LWE,'Smith, Lloyd 11.25.'!$MFX:$MGA,'Smith, Lloyd 11.25.'!$MPT:$MPW,'Smith, Lloyd 11.25.'!$MZP:$MZS,'Smith, Lloyd 11.25.'!$NJL:$NJO,'Smith, Lloyd 11.25.'!$NTH:$NTK,'Smith, Lloyd 11.25.'!$ODD:$ODG,'Smith, Lloyd 11.25.'!$OMZ:$ONC,'Smith, Lloyd 11.25.'!$OWV:$OWY,'Smith, Lloyd 11.25.'!$PGR:$PGU,'Smith, Lloyd 11.25.'!$PQN:$PQQ,'Smith, Lloyd 11.25.'!$QAJ:$QAM,'Smith, Lloyd 11.25.'!$QKF:$QKI,'Smith, Lloyd 11.25.'!$QUB:$QUE,'Smith, Lloyd 11.25.'!$RDX:$REA,'Smith, Lloyd 11.25.'!$RNT:$RNW,'Smith, Lloyd 11.25.'!$RXP:$RXS,'Smith, Lloyd 11.25.'!$SHL:$SHO,'Smith, Lloyd 11.25.'!$SRH:$SRK,'Smith, Lloyd 11.25.'!$TBD:$TBG,'Smith, Lloyd 11.25.'!$TKZ:$TLC,'Smith, Lloyd 11.25.'!$TUV:$TUY,'Smith, Lloyd 11.25.'!$UER:$UEU,'Smith, Lloyd 11.25.'!$UON:$UOQ,'Smith, Lloyd 11.25.'!$UYJ:$UYM,'Smith, Lloyd 11.25.'!$VIF:$VII,'Smith, Lloyd 11.25.'!$VSB:$VSE,'Smith, Lloyd 11.25.'!$WBX:$WCA,'Smith, Lloyd 11.25.'!$WLT:$WLW,'Smith, Lloyd 11.25.'!$WVP:$WVS</definedName>
    <definedName name="Z_BA478993_72B7_49F8_A967_B5443FE6D752_.wvu.Cols" localSheetId="24" hidden="1">Thomas!#REF!,Thomas!$JD:$JG,Thomas!$SZ:$TC,Thomas!$ACV:$ACY,Thomas!$AMR:$AMU,Thomas!$AWN:$AWQ,Thomas!$BGJ:$BGM,Thomas!$BQF:$BQI,Thomas!$CAB:$CAE,Thomas!$CJX:$CKA,Thomas!$CTT:$CTW,Thomas!$DDP:$DDS,Thomas!$DNL:$DNO,Thomas!$DXH:$DXK,Thomas!$EHD:$EHG,Thomas!$EQZ:$ERC,Thomas!$FAV:$FAY,Thomas!$FKR:$FKU,Thomas!$FUN:$FUQ,Thomas!$GEJ:$GEM,Thomas!$GOF:$GOI,Thomas!$GYB:$GYE,Thomas!$HHX:$HIA,Thomas!$HRT:$HRW,Thomas!$IBP:$IBS,Thomas!$ILL:$ILO,Thomas!$IVH:$IVK,Thomas!$JFD:$JFG,Thomas!$JOZ:$JPC,Thomas!$JYV:$JYY,Thomas!$KIR:$KIU,Thomas!$KSN:$KSQ,Thomas!$LCJ:$LCM,Thomas!$LMF:$LMI,Thomas!$LWB:$LWE,Thomas!$MFX:$MGA,Thomas!$MPT:$MPW,Thomas!$MZP:$MZS,Thomas!$NJL:$NJO,Thomas!$NTH:$NTK,Thomas!$ODD:$ODG,Thomas!$OMZ:$ONC,Thomas!$OWV:$OWY,Thomas!$PGR:$PGU,Thomas!$PQN:$PQQ,Thomas!$QAJ:$QAM,Thomas!$QKF:$QKI,Thomas!$QUB:$QUE,Thomas!$RDX:$REA,Thomas!$RNT:$RNW,Thomas!$RXP:$RXS,Thomas!$SHL:$SHO,Thomas!$SRH:$SRK,Thomas!$TBD:$TBG,Thomas!$TKZ:$TLC,Thomas!$TUV:$TUY,Thomas!$UER:$UEU,Thomas!$UON:$UOQ,Thomas!$UYJ:$UYM,Thomas!$VIF:$VII,Thomas!$VSB:$VSE,Thomas!$WBX:$WCA,Thomas!$WLT:$WLW,Thomas!$WVP:$WVS</definedName>
    <definedName name="Z_BA478993_72B7_49F8_A967_B5443FE6D752_.wvu.Cols" localSheetId="25" hidden="1">'Wilkins-Fontenor 11.25.1'!#REF!,'Wilkins-Fontenor 11.25.1'!$JD:$JG,'Wilkins-Fontenor 11.25.1'!$SZ:$TC,'Wilkins-Fontenor 11.25.1'!$ACV:$ACY,'Wilkins-Fontenor 11.25.1'!$AMR:$AMU,'Wilkins-Fontenor 11.25.1'!$AWN:$AWQ,'Wilkins-Fontenor 11.25.1'!$BGJ:$BGM,'Wilkins-Fontenor 11.25.1'!$BQF:$BQI,'Wilkins-Fontenor 11.25.1'!$CAB:$CAE,'Wilkins-Fontenor 11.25.1'!$CJX:$CKA,'Wilkins-Fontenor 11.25.1'!$CTT:$CTW,'Wilkins-Fontenor 11.25.1'!$DDP:$DDS,'Wilkins-Fontenor 11.25.1'!$DNL:$DNO,'Wilkins-Fontenor 11.25.1'!$DXH:$DXK,'Wilkins-Fontenor 11.25.1'!$EHD:$EHG,'Wilkins-Fontenor 11.25.1'!$EQZ:$ERC,'Wilkins-Fontenor 11.25.1'!$FAV:$FAY,'Wilkins-Fontenor 11.25.1'!$FKR:$FKU,'Wilkins-Fontenor 11.25.1'!$FUN:$FUQ,'Wilkins-Fontenor 11.25.1'!$GEJ:$GEM,'Wilkins-Fontenor 11.25.1'!$GOF:$GOI,'Wilkins-Fontenor 11.25.1'!$GYB:$GYE,'Wilkins-Fontenor 11.25.1'!$HHX:$HIA,'Wilkins-Fontenor 11.25.1'!$HRT:$HRW,'Wilkins-Fontenor 11.25.1'!$IBP:$IBS,'Wilkins-Fontenor 11.25.1'!$ILL:$ILO,'Wilkins-Fontenor 11.25.1'!$IVH:$IVK,'Wilkins-Fontenor 11.25.1'!$JFD:$JFG,'Wilkins-Fontenor 11.25.1'!$JOZ:$JPC,'Wilkins-Fontenor 11.25.1'!$JYV:$JYY,'Wilkins-Fontenor 11.25.1'!$KIR:$KIU,'Wilkins-Fontenor 11.25.1'!$KSN:$KSQ,'Wilkins-Fontenor 11.25.1'!$LCJ:$LCM,'Wilkins-Fontenor 11.25.1'!$LMF:$LMI,'Wilkins-Fontenor 11.25.1'!$LWB:$LWE,'Wilkins-Fontenor 11.25.1'!$MFX:$MGA,'Wilkins-Fontenor 11.25.1'!$MPT:$MPW,'Wilkins-Fontenor 11.25.1'!$MZP:$MZS,'Wilkins-Fontenor 11.25.1'!$NJL:$NJO,'Wilkins-Fontenor 11.25.1'!$NTH:$NTK,'Wilkins-Fontenor 11.25.1'!$ODD:$ODG,'Wilkins-Fontenor 11.25.1'!$OMZ:$ONC,'Wilkins-Fontenor 11.25.1'!$OWV:$OWY,'Wilkins-Fontenor 11.25.1'!$PGR:$PGU,'Wilkins-Fontenor 11.25.1'!$PQN:$PQQ,'Wilkins-Fontenor 11.25.1'!$QAJ:$QAM,'Wilkins-Fontenor 11.25.1'!$QKF:$QKI,'Wilkins-Fontenor 11.25.1'!$QUB:$QUE,'Wilkins-Fontenor 11.25.1'!$RDX:$REA,'Wilkins-Fontenor 11.25.1'!$RNT:$RNW,'Wilkins-Fontenor 11.25.1'!$RXP:$RXS,'Wilkins-Fontenor 11.25.1'!$SHL:$SHO,'Wilkins-Fontenor 11.25.1'!$SRH:$SRK,'Wilkins-Fontenor 11.25.1'!$TBD:$TBG,'Wilkins-Fontenor 11.25.1'!$TKZ:$TLC,'Wilkins-Fontenor 11.25.1'!$TUV:$TUY,'Wilkins-Fontenor 11.25.1'!$UER:$UEU,'Wilkins-Fontenor 11.25.1'!$UON:$UOQ,'Wilkins-Fontenor 11.25.1'!$UYJ:$UYM,'Wilkins-Fontenor 11.25.1'!$VIF:$VII,'Wilkins-Fontenor 11.25.1'!$VSB:$VSE,'Wilkins-Fontenor 11.25.1'!$WBX:$WCA,'Wilkins-Fontenor 11.25.1'!$WLT:$WLW,'Wilkins-Fontenor 11.25.1'!$WVP:$WVS</definedName>
    <definedName name="Z_CA177B0E_0054_43B8_A082_5F02BC357538_.wvu.Cols" localSheetId="27" hidden="1">'&gt;=50 Calc for DRS Plans'!#REF!,'&gt;=50 Calc for DRS Plans'!$IQ:$IT,'&gt;=50 Calc for DRS Plans'!$SM:$SP,'&gt;=50 Calc for DRS Plans'!$ACI:$ACL,'&gt;=50 Calc for DRS Plans'!$AME:$AMH,'&gt;=50 Calc for DRS Plans'!$AWA:$AWD,'&gt;=50 Calc for DRS Plans'!$BFW:$BFZ,'&gt;=50 Calc for DRS Plans'!$BPS:$BPV,'&gt;=50 Calc for DRS Plans'!$BZO:$BZR,'&gt;=50 Calc for DRS Plans'!$CJK:$CJN,'&gt;=50 Calc for DRS Plans'!$CTG:$CTJ,'&gt;=50 Calc for DRS Plans'!$DDC:$DDF,'&gt;=50 Calc for DRS Plans'!$DMY:$DNB,'&gt;=50 Calc for DRS Plans'!$DWU:$DWX,'&gt;=50 Calc for DRS Plans'!$EGQ:$EGT,'&gt;=50 Calc for DRS Plans'!$EQM:$EQP,'&gt;=50 Calc for DRS Plans'!$FAI:$FAL,'&gt;=50 Calc for DRS Plans'!$FKE:$FKH,'&gt;=50 Calc for DRS Plans'!$FUA:$FUD,'&gt;=50 Calc for DRS Plans'!$GDW:$GDZ,'&gt;=50 Calc for DRS Plans'!$GNS:$GNV,'&gt;=50 Calc for DRS Plans'!$GXO:$GXR,'&gt;=50 Calc for DRS Plans'!$HHK:$HHN,'&gt;=50 Calc for DRS Plans'!$HRG:$HRJ,'&gt;=50 Calc for DRS Plans'!$IBC:$IBF,'&gt;=50 Calc for DRS Plans'!$IKY:$ILB,'&gt;=50 Calc for DRS Plans'!$IUU:$IUX,'&gt;=50 Calc for DRS Plans'!$JEQ:$JET,'&gt;=50 Calc for DRS Plans'!$JOM:$JOP,'&gt;=50 Calc for DRS Plans'!$JYI:$JYL,'&gt;=50 Calc for DRS Plans'!$KIE:$KIH,'&gt;=50 Calc for DRS Plans'!$KSA:$KSD,'&gt;=50 Calc for DRS Plans'!$LBW:$LBZ,'&gt;=50 Calc for DRS Plans'!$LLS:$LLV,'&gt;=50 Calc for DRS Plans'!$LVO:$LVR,'&gt;=50 Calc for DRS Plans'!$MFK:$MFN,'&gt;=50 Calc for DRS Plans'!$MPG:$MPJ,'&gt;=50 Calc for DRS Plans'!$MZC:$MZF,'&gt;=50 Calc for DRS Plans'!$NIY:$NJB,'&gt;=50 Calc for DRS Plans'!$NSU:$NSX,'&gt;=50 Calc for DRS Plans'!$OCQ:$OCT,'&gt;=50 Calc for DRS Plans'!$OMM:$OMP,'&gt;=50 Calc for DRS Plans'!$OWI:$OWL,'&gt;=50 Calc for DRS Plans'!$PGE:$PGH,'&gt;=50 Calc for DRS Plans'!$PQA:$PQD,'&gt;=50 Calc for DRS Plans'!$PZW:$PZZ,'&gt;=50 Calc for DRS Plans'!$QJS:$QJV,'&gt;=50 Calc for DRS Plans'!$QTO:$QTR,'&gt;=50 Calc for DRS Plans'!$RDK:$RDN,'&gt;=50 Calc for DRS Plans'!$RNG:$RNJ,'&gt;=50 Calc for DRS Plans'!$RXC:$RXF,'&gt;=50 Calc for DRS Plans'!$SGY:$SHB,'&gt;=50 Calc for DRS Plans'!$SQU:$SQX,'&gt;=50 Calc for DRS Plans'!$TAQ:$TAT,'&gt;=50 Calc for DRS Plans'!$TKM:$TKP,'&gt;=50 Calc for DRS Plans'!$TUI:$TUL,'&gt;=50 Calc for DRS Plans'!$UEE:$UEH,'&gt;=50 Calc for DRS Plans'!$UOA:$UOD,'&gt;=50 Calc for DRS Plans'!$UXW:$UXZ,'&gt;=50 Calc for DRS Plans'!$VHS:$VHV,'&gt;=50 Calc for DRS Plans'!$VRO:$VRR,'&gt;=50 Calc for DRS Plans'!$WBK:$WBN,'&gt;=50 Calc for DRS Plans'!$WLG:$WLJ,'&gt;=50 Calc for DRS Plans'!$WVC:$WVF</definedName>
    <definedName name="Z_CA177B0E_0054_43B8_A082_5F02BC357538_.wvu.Cols" localSheetId="0" hidden="1">'Bandyopadhyay 11.25 &amp; 12.10.'!#REF!,'Bandyopadhyay 11.25 &amp; 12.10.'!$JD:$JG,'Bandyopadhyay 11.25 &amp; 12.10.'!$SZ:$TC,'Bandyopadhyay 11.25 &amp; 12.10.'!$ACV:$ACY,'Bandyopadhyay 11.25 &amp; 12.10.'!$AMR:$AMU,'Bandyopadhyay 11.25 &amp; 12.10.'!$AWN:$AWQ,'Bandyopadhyay 11.25 &amp; 12.10.'!$BGJ:$BGM,'Bandyopadhyay 11.25 &amp; 12.10.'!$BQF:$BQI,'Bandyopadhyay 11.25 &amp; 12.10.'!$CAB:$CAE,'Bandyopadhyay 11.25 &amp; 12.10.'!$CJX:$CKA,'Bandyopadhyay 11.25 &amp; 12.10.'!$CTT:$CTW,'Bandyopadhyay 11.25 &amp; 12.10.'!$DDP:$DDS,'Bandyopadhyay 11.25 &amp; 12.10.'!$DNL:$DNO,'Bandyopadhyay 11.25 &amp; 12.10.'!$DXH:$DXK,'Bandyopadhyay 11.25 &amp; 12.10.'!$EHD:$EHG,'Bandyopadhyay 11.25 &amp; 12.10.'!$EQZ:$ERC,'Bandyopadhyay 11.25 &amp; 12.10.'!$FAV:$FAY,'Bandyopadhyay 11.25 &amp; 12.10.'!$FKR:$FKU,'Bandyopadhyay 11.25 &amp; 12.10.'!$FUN:$FUQ,'Bandyopadhyay 11.25 &amp; 12.10.'!$GEJ:$GEM,'Bandyopadhyay 11.25 &amp; 12.10.'!$GOF:$GOI,'Bandyopadhyay 11.25 &amp; 12.10.'!$GYB:$GYE,'Bandyopadhyay 11.25 &amp; 12.10.'!$HHX:$HIA,'Bandyopadhyay 11.25 &amp; 12.10.'!$HRT:$HRW,'Bandyopadhyay 11.25 &amp; 12.10.'!$IBP:$IBS,'Bandyopadhyay 11.25 &amp; 12.10.'!$ILL:$ILO,'Bandyopadhyay 11.25 &amp; 12.10.'!$IVH:$IVK,'Bandyopadhyay 11.25 &amp; 12.10.'!$JFD:$JFG,'Bandyopadhyay 11.25 &amp; 12.10.'!$JOZ:$JPC,'Bandyopadhyay 11.25 &amp; 12.10.'!$JYV:$JYY,'Bandyopadhyay 11.25 &amp; 12.10.'!$KIR:$KIU,'Bandyopadhyay 11.25 &amp; 12.10.'!$KSN:$KSQ,'Bandyopadhyay 11.25 &amp; 12.10.'!$LCJ:$LCM,'Bandyopadhyay 11.25 &amp; 12.10.'!$LMF:$LMI,'Bandyopadhyay 11.25 &amp; 12.10.'!$LWB:$LWE,'Bandyopadhyay 11.25 &amp; 12.10.'!$MFX:$MGA,'Bandyopadhyay 11.25 &amp; 12.10.'!$MPT:$MPW,'Bandyopadhyay 11.25 &amp; 12.10.'!$MZP:$MZS,'Bandyopadhyay 11.25 &amp; 12.10.'!$NJL:$NJO,'Bandyopadhyay 11.25 &amp; 12.10.'!$NTH:$NTK,'Bandyopadhyay 11.25 &amp; 12.10.'!$ODD:$ODG,'Bandyopadhyay 11.25 &amp; 12.10.'!$OMZ:$ONC,'Bandyopadhyay 11.25 &amp; 12.10.'!$OWV:$OWY,'Bandyopadhyay 11.25 &amp; 12.10.'!$PGR:$PGU,'Bandyopadhyay 11.25 &amp; 12.10.'!$PQN:$PQQ,'Bandyopadhyay 11.25 &amp; 12.10.'!$QAJ:$QAM,'Bandyopadhyay 11.25 &amp; 12.10.'!$QKF:$QKI,'Bandyopadhyay 11.25 &amp; 12.10.'!$QUB:$QUE,'Bandyopadhyay 11.25 &amp; 12.10.'!$RDX:$REA,'Bandyopadhyay 11.25 &amp; 12.10.'!$RNT:$RNW,'Bandyopadhyay 11.25 &amp; 12.10.'!$RXP:$RXS,'Bandyopadhyay 11.25 &amp; 12.10.'!$SHL:$SHO,'Bandyopadhyay 11.25 &amp; 12.10.'!$SRH:$SRK,'Bandyopadhyay 11.25 &amp; 12.10.'!$TBD:$TBG,'Bandyopadhyay 11.25 &amp; 12.10.'!$TKZ:$TLC,'Bandyopadhyay 11.25 &amp; 12.10.'!$TUV:$TUY,'Bandyopadhyay 11.25 &amp; 12.10.'!$UER:$UEU,'Bandyopadhyay 11.25 &amp; 12.10.'!$UON:$UOQ,'Bandyopadhyay 11.25 &amp; 12.10.'!$UYJ:$UYM,'Bandyopadhyay 11.25 &amp; 12.10.'!$VIF:$VII,'Bandyopadhyay 11.25 &amp; 12.10.'!$VSB:$VSE,'Bandyopadhyay 11.25 &amp; 12.10.'!$WBX:$WCA,'Bandyopadhyay 11.25 &amp; 12.10.'!$WLT:$WLW,'Bandyopadhyay 11.25 &amp; 12.10.'!$WVP:$WVS</definedName>
    <definedName name="Z_CA177B0E_0054_43B8_A082_5F02BC357538_.wvu.Cols" localSheetId="1" hidden="1">'Bender 11.25.'!#REF!,'Bender 11.25.'!$JD:$JG,'Bender 11.25.'!$SZ:$TC,'Bender 11.25.'!$ACV:$ACY,'Bender 11.25.'!$AMR:$AMU,'Bender 11.25.'!$AWN:$AWQ,'Bender 11.25.'!$BGJ:$BGM,'Bender 11.25.'!$BQF:$BQI,'Bender 11.25.'!$CAB:$CAE,'Bender 11.25.'!$CJX:$CKA,'Bender 11.25.'!$CTT:$CTW,'Bender 11.25.'!$DDP:$DDS,'Bender 11.25.'!$DNL:$DNO,'Bender 11.25.'!$DXH:$DXK,'Bender 11.25.'!$EHD:$EHG,'Bender 11.25.'!$EQZ:$ERC,'Bender 11.25.'!$FAV:$FAY,'Bender 11.25.'!$FKR:$FKU,'Bender 11.25.'!$FUN:$FUQ,'Bender 11.25.'!$GEJ:$GEM,'Bender 11.25.'!$GOF:$GOI,'Bender 11.25.'!$GYB:$GYE,'Bender 11.25.'!$HHX:$HIA,'Bender 11.25.'!$HRT:$HRW,'Bender 11.25.'!$IBP:$IBS,'Bender 11.25.'!$ILL:$ILO,'Bender 11.25.'!$IVH:$IVK,'Bender 11.25.'!$JFD:$JFG,'Bender 11.25.'!$JOZ:$JPC,'Bender 11.25.'!$JYV:$JYY,'Bender 11.25.'!$KIR:$KIU,'Bender 11.25.'!$KSN:$KSQ,'Bender 11.25.'!$LCJ:$LCM,'Bender 11.25.'!$LMF:$LMI,'Bender 11.25.'!$LWB:$LWE,'Bender 11.25.'!$MFX:$MGA,'Bender 11.25.'!$MPT:$MPW,'Bender 11.25.'!$MZP:$MZS,'Bender 11.25.'!$NJL:$NJO,'Bender 11.25.'!$NTH:$NTK,'Bender 11.25.'!$ODD:$ODG,'Bender 11.25.'!$OMZ:$ONC,'Bender 11.25.'!$OWV:$OWY,'Bender 11.25.'!$PGR:$PGU,'Bender 11.25.'!$PQN:$PQQ,'Bender 11.25.'!$QAJ:$QAM,'Bender 11.25.'!$QKF:$QKI,'Bender 11.25.'!$QUB:$QUE,'Bender 11.25.'!$RDX:$REA,'Bender 11.25.'!$RNT:$RNW,'Bender 11.25.'!$RXP:$RXS,'Bender 11.25.'!$SHL:$SHO,'Bender 11.25.'!$SRH:$SRK,'Bender 11.25.'!$TBD:$TBG,'Bender 11.25.'!$TKZ:$TLC,'Bender 11.25.'!$TUV:$TUY,'Bender 11.25.'!$UER:$UEU,'Bender 11.25.'!$UON:$UOQ,'Bender 11.25.'!$UYJ:$UYM,'Bender 11.25.'!$VIF:$VII,'Bender 11.25.'!$VSB:$VSE,'Bender 11.25.'!$WBX:$WCA,'Bender 11.25.'!$WLT:$WLW,'Bender 11.25.'!$WVP:$WVS</definedName>
    <definedName name="Z_CA177B0E_0054_43B8_A082_5F02BC357538_.wvu.Cols" localSheetId="2" hidden="1">'Bose, Susmita 11.25.1'!#REF!,'Bose, Susmita 11.25.1'!$JD:$JG,'Bose, Susmita 11.25.1'!$SZ:$TC,'Bose, Susmita 11.25.1'!$ACV:$ACY,'Bose, Susmita 11.25.1'!$AMR:$AMU,'Bose, Susmita 11.25.1'!$AWN:$AWQ,'Bose, Susmita 11.25.1'!$BGJ:$BGM,'Bose, Susmita 11.25.1'!$BQF:$BQI,'Bose, Susmita 11.25.1'!$CAB:$CAE,'Bose, Susmita 11.25.1'!$CJX:$CKA,'Bose, Susmita 11.25.1'!$CTT:$CTW,'Bose, Susmita 11.25.1'!$DDP:$DDS,'Bose, Susmita 11.25.1'!$DNL:$DNO,'Bose, Susmita 11.25.1'!$DXH:$DXK,'Bose, Susmita 11.25.1'!$EHD:$EHG,'Bose, Susmita 11.25.1'!$EQZ:$ERC,'Bose, Susmita 11.25.1'!$FAV:$FAY,'Bose, Susmita 11.25.1'!$FKR:$FKU,'Bose, Susmita 11.25.1'!$FUN:$FUQ,'Bose, Susmita 11.25.1'!$GEJ:$GEM,'Bose, Susmita 11.25.1'!$GOF:$GOI,'Bose, Susmita 11.25.1'!$GYB:$GYE,'Bose, Susmita 11.25.1'!$HHX:$HIA,'Bose, Susmita 11.25.1'!$HRT:$HRW,'Bose, Susmita 11.25.1'!$IBP:$IBS,'Bose, Susmita 11.25.1'!$ILL:$ILO,'Bose, Susmita 11.25.1'!$IVH:$IVK,'Bose, Susmita 11.25.1'!$JFD:$JFG,'Bose, Susmita 11.25.1'!$JOZ:$JPC,'Bose, Susmita 11.25.1'!$JYV:$JYY,'Bose, Susmita 11.25.1'!$KIR:$KIU,'Bose, Susmita 11.25.1'!$KSN:$KSQ,'Bose, Susmita 11.25.1'!$LCJ:$LCM,'Bose, Susmita 11.25.1'!$LMF:$LMI,'Bose, Susmita 11.25.1'!$LWB:$LWE,'Bose, Susmita 11.25.1'!$MFX:$MGA,'Bose, Susmita 11.25.1'!$MPT:$MPW,'Bose, Susmita 11.25.1'!$MZP:$MZS,'Bose, Susmita 11.25.1'!$NJL:$NJO,'Bose, Susmita 11.25.1'!$NTH:$NTK,'Bose, Susmita 11.25.1'!$ODD:$ODG,'Bose, Susmita 11.25.1'!$OMZ:$ONC,'Bose, Susmita 11.25.1'!$OWV:$OWY,'Bose, Susmita 11.25.1'!$PGR:$PGU,'Bose, Susmita 11.25.1'!$PQN:$PQQ,'Bose, Susmita 11.25.1'!$QAJ:$QAM,'Bose, Susmita 11.25.1'!$QKF:$QKI,'Bose, Susmita 11.25.1'!$QUB:$QUE,'Bose, Susmita 11.25.1'!$RDX:$REA,'Bose, Susmita 11.25.1'!$RNT:$RNW,'Bose, Susmita 11.25.1'!$RXP:$RXS,'Bose, Susmita 11.25.1'!$SHL:$SHO,'Bose, Susmita 11.25.1'!$SRH:$SRK,'Bose, Susmita 11.25.1'!$TBD:$TBG,'Bose, Susmita 11.25.1'!$TKZ:$TLC,'Bose, Susmita 11.25.1'!$TUV:$TUY,'Bose, Susmita 11.25.1'!$UER:$UEU,'Bose, Susmita 11.25.1'!$UON:$UOQ,'Bose, Susmita 11.25.1'!$UYJ:$UYM,'Bose, Susmita 11.25.1'!$VIF:$VII,'Bose, Susmita 11.25.1'!$VSB:$VSE,'Bose, Susmita 11.25.1'!$WBX:$WCA,'Bose, Susmita 11.25.1'!$WLT:$WLW,'Bose, Susmita 11.25.1'!$WVP:$WVS</definedName>
    <definedName name="Z_CA177B0E_0054_43B8_A082_5F02BC357538_.wvu.Cols" localSheetId="3" hidden="1">'Ding, Jow 11.25.'!#REF!,'Ding, Jow 11.25.'!$JD:$JG,'Ding, Jow 11.25.'!$SZ:$TC,'Ding, Jow 11.25.'!$ACV:$ACY,'Ding, Jow 11.25.'!$AMR:$AMU,'Ding, Jow 11.25.'!$AWN:$AWQ,'Ding, Jow 11.25.'!$BGJ:$BGM,'Ding, Jow 11.25.'!$BQF:$BQI,'Ding, Jow 11.25.'!$CAB:$CAE,'Ding, Jow 11.25.'!$CJX:$CKA,'Ding, Jow 11.25.'!$CTT:$CTW,'Ding, Jow 11.25.'!$DDP:$DDS,'Ding, Jow 11.25.'!$DNL:$DNO,'Ding, Jow 11.25.'!$DXH:$DXK,'Ding, Jow 11.25.'!$EHD:$EHG,'Ding, Jow 11.25.'!$EQZ:$ERC,'Ding, Jow 11.25.'!$FAV:$FAY,'Ding, Jow 11.25.'!$FKR:$FKU,'Ding, Jow 11.25.'!$FUN:$FUQ,'Ding, Jow 11.25.'!$GEJ:$GEM,'Ding, Jow 11.25.'!$GOF:$GOI,'Ding, Jow 11.25.'!$GYB:$GYE,'Ding, Jow 11.25.'!$HHX:$HIA,'Ding, Jow 11.25.'!$HRT:$HRW,'Ding, Jow 11.25.'!$IBP:$IBS,'Ding, Jow 11.25.'!$ILL:$ILO,'Ding, Jow 11.25.'!$IVH:$IVK,'Ding, Jow 11.25.'!$JFD:$JFG,'Ding, Jow 11.25.'!$JOZ:$JPC,'Ding, Jow 11.25.'!$JYV:$JYY,'Ding, Jow 11.25.'!$KIR:$KIU,'Ding, Jow 11.25.'!$KSN:$KSQ,'Ding, Jow 11.25.'!$LCJ:$LCM,'Ding, Jow 11.25.'!$LMF:$LMI,'Ding, Jow 11.25.'!$LWB:$LWE,'Ding, Jow 11.25.'!$MFX:$MGA,'Ding, Jow 11.25.'!$MPT:$MPW,'Ding, Jow 11.25.'!$MZP:$MZS,'Ding, Jow 11.25.'!$NJL:$NJO,'Ding, Jow 11.25.'!$NTH:$NTK,'Ding, Jow 11.25.'!$ODD:$ODG,'Ding, Jow 11.25.'!$OMZ:$ONC,'Ding, Jow 11.25.'!$OWV:$OWY,'Ding, Jow 11.25.'!$PGR:$PGU,'Ding, Jow 11.25.'!$PQN:$PQQ,'Ding, Jow 11.25.'!$QAJ:$QAM,'Ding, Jow 11.25.'!$QKF:$QKI,'Ding, Jow 11.25.'!$QUB:$QUE,'Ding, Jow 11.25.'!$RDX:$REA,'Ding, Jow 11.25.'!$RNT:$RNW,'Ding, Jow 11.25.'!$RXP:$RXS,'Ding, Jow 11.25.'!$SHL:$SHO,'Ding, Jow 11.25.'!$SRH:$SRK,'Ding, Jow 11.25.'!$TBD:$TBG,'Ding, Jow 11.25.'!$TKZ:$TLC,'Ding, Jow 11.25.'!$TUV:$TUY,'Ding, Jow 11.25.'!$UER:$UEU,'Ding, Jow 11.25.'!$UON:$UOQ,'Ding, Jow 11.25.'!$UYJ:$UYM,'Ding, Jow 11.25.'!$VIF:$VII,'Ding, Jow 11.25.'!$VSB:$VSE,'Ding, Jow 11.25.'!$WBX:$WCA,'Ding, Jow 11.25.'!$WLT:$WLW,'Ding, Jow 11.25.'!$WVP:$WVS</definedName>
    <definedName name="Z_CA177B0E_0054_43B8_A082_5F02BC357538_.wvu.Cols" localSheetId="4" hidden="1">'Eilers - 11.10 Double check'!$L:$O,'Eilers - 11.10 Double check'!$JH:$JK,'Eilers - 11.10 Double check'!$TD:$TG,'Eilers - 11.10 Double check'!$ACZ:$ADC,'Eilers - 11.10 Double check'!$AMV:$AMY,'Eilers - 11.10 Double check'!$AWR:$AWU,'Eilers - 11.10 Double check'!$BGN:$BGQ,'Eilers - 11.10 Double check'!$BQJ:$BQM,'Eilers - 11.10 Double check'!$CAF:$CAI,'Eilers - 11.10 Double check'!$CKB:$CKE,'Eilers - 11.10 Double check'!$CTX:$CUA,'Eilers - 11.10 Double check'!$DDT:$DDW,'Eilers - 11.10 Double check'!$DNP:$DNS,'Eilers - 11.10 Double check'!$DXL:$DXO,'Eilers - 11.10 Double check'!$EHH:$EHK,'Eilers - 11.10 Double check'!$ERD:$ERG,'Eilers - 11.10 Double check'!$FAZ:$FBC,'Eilers - 11.10 Double check'!$FKV:$FKY,'Eilers - 11.10 Double check'!$FUR:$FUU,'Eilers - 11.10 Double check'!$GEN:$GEQ,'Eilers - 11.10 Double check'!$GOJ:$GOM,'Eilers - 11.10 Double check'!$GYF:$GYI,'Eilers - 11.10 Double check'!$HIB:$HIE,'Eilers - 11.10 Double check'!$HRX:$HSA,'Eilers - 11.10 Double check'!$IBT:$IBW,'Eilers - 11.10 Double check'!$ILP:$ILS,'Eilers - 11.10 Double check'!$IVL:$IVO,'Eilers - 11.10 Double check'!$JFH:$JFK,'Eilers - 11.10 Double check'!$JPD:$JPG,'Eilers - 11.10 Double check'!$JYZ:$JZC,'Eilers - 11.10 Double check'!$KIV:$KIY,'Eilers - 11.10 Double check'!$KSR:$KSU,'Eilers - 11.10 Double check'!$LCN:$LCQ,'Eilers - 11.10 Double check'!$LMJ:$LMM,'Eilers - 11.10 Double check'!$LWF:$LWI,'Eilers - 11.10 Double check'!$MGB:$MGE,'Eilers - 11.10 Double check'!$MPX:$MQA,'Eilers - 11.10 Double check'!$MZT:$MZW,'Eilers - 11.10 Double check'!$NJP:$NJS,'Eilers - 11.10 Double check'!$NTL:$NTO,'Eilers - 11.10 Double check'!$ODH:$ODK,'Eilers - 11.10 Double check'!$OND:$ONG,'Eilers - 11.10 Double check'!$OWZ:$OXC,'Eilers - 11.10 Double check'!$PGV:$PGY,'Eilers - 11.10 Double check'!$PQR:$PQU,'Eilers - 11.10 Double check'!$QAN:$QAQ,'Eilers - 11.10 Double check'!$QKJ:$QKM,'Eilers - 11.10 Double check'!$QUF:$QUI,'Eilers - 11.10 Double check'!$REB:$REE,'Eilers - 11.10 Double check'!$RNX:$ROA,'Eilers - 11.10 Double check'!$RXT:$RXW,'Eilers - 11.10 Double check'!$SHP:$SHS,'Eilers - 11.10 Double check'!$SRL:$SRO,'Eilers - 11.10 Double check'!$TBH:$TBK,'Eilers - 11.10 Double check'!$TLD:$TLG,'Eilers - 11.10 Double check'!$TUZ:$TVC,'Eilers - 11.10 Double check'!$UEV:$UEY,'Eilers - 11.10 Double check'!$UOR:$UOU,'Eilers - 11.10 Double check'!$UYN:$UYQ,'Eilers - 11.10 Double check'!$VIJ:$VIM,'Eilers - 11.10 Double check'!$VSF:$VSI,'Eilers - 11.10 Double check'!$WCB:$WCE,'Eilers - 11.10 Double check'!$WLX:$WMA,'Eilers - 11.10 Double check'!$WVT:$WVW</definedName>
    <definedName name="Z_CA177B0E_0054_43B8_A082_5F02BC357538_.wvu.Cols" localSheetId="5" hidden="1">'Eilers - full yr'!$L:$O,'Eilers - full yr'!$JH:$JK,'Eilers - full yr'!$TD:$TG,'Eilers - full yr'!$ACZ:$ADC,'Eilers - full yr'!$AMV:$AMY,'Eilers - full yr'!$AWR:$AWU,'Eilers - full yr'!$BGN:$BGQ,'Eilers - full yr'!$BQJ:$BQM,'Eilers - full yr'!$CAF:$CAI,'Eilers - full yr'!$CKB:$CKE,'Eilers - full yr'!$CTX:$CUA,'Eilers - full yr'!$DDT:$DDW,'Eilers - full yr'!$DNP:$DNS,'Eilers - full yr'!$DXL:$DXO,'Eilers - full yr'!$EHH:$EHK,'Eilers - full yr'!$ERD:$ERG,'Eilers - full yr'!$FAZ:$FBC,'Eilers - full yr'!$FKV:$FKY,'Eilers - full yr'!$FUR:$FUU,'Eilers - full yr'!$GEN:$GEQ,'Eilers - full yr'!$GOJ:$GOM,'Eilers - full yr'!$GYF:$GYI,'Eilers - full yr'!$HIB:$HIE,'Eilers - full yr'!$HRX:$HSA,'Eilers - full yr'!$IBT:$IBW,'Eilers - full yr'!$ILP:$ILS,'Eilers - full yr'!$IVL:$IVO,'Eilers - full yr'!$JFH:$JFK,'Eilers - full yr'!$JPD:$JPG,'Eilers - full yr'!$JYZ:$JZC,'Eilers - full yr'!$KIV:$KIY,'Eilers - full yr'!$KSR:$KSU,'Eilers - full yr'!$LCN:$LCQ,'Eilers - full yr'!$LMJ:$LMM,'Eilers - full yr'!$LWF:$LWI,'Eilers - full yr'!$MGB:$MGE,'Eilers - full yr'!$MPX:$MQA,'Eilers - full yr'!$MZT:$MZW,'Eilers - full yr'!$NJP:$NJS,'Eilers - full yr'!$NTL:$NTO,'Eilers - full yr'!$ODH:$ODK,'Eilers - full yr'!$OND:$ONG,'Eilers - full yr'!$OWZ:$OXC,'Eilers - full yr'!$PGV:$PGY,'Eilers - full yr'!$PQR:$PQU,'Eilers - full yr'!$QAN:$QAQ,'Eilers - full yr'!$QKJ:$QKM,'Eilers - full yr'!$QUF:$QUI,'Eilers - full yr'!$REB:$REE,'Eilers - full yr'!$RNX:$ROA,'Eilers - full yr'!$RXT:$RXW,'Eilers - full yr'!$SHP:$SHS,'Eilers - full yr'!$SRL:$SRO,'Eilers - full yr'!$TBH:$TBK,'Eilers - full yr'!$TLD:$TLG,'Eilers - full yr'!$TUZ:$TVC,'Eilers - full yr'!$UEV:$UEY,'Eilers - full yr'!$UOR:$UOU,'Eilers - full yr'!$UYN:$UYQ,'Eilers - full yr'!$VIJ:$VIM,'Eilers - full yr'!$VSF:$VSI,'Eilers - full yr'!$WCB:$WCE,'Eilers - full yr'!$WLX:$WMA,'Eilers - full yr'!$WVT:$WVW</definedName>
    <definedName name="Z_CA177B0E_0054_43B8_A082_5F02BC357538_.wvu.Cols" localSheetId="6" hidden="1">Etheridge!$K:$N,Etheridge!$JG:$JJ,Etheridge!$TC:$TF,Etheridge!$ACY:$ADB,Etheridge!$AMU:$AMX,Etheridge!$AWQ:$AWT,Etheridge!$BGM:$BGP,Etheridge!$BQI:$BQL,Etheridge!$CAE:$CAH,Etheridge!$CKA:$CKD,Etheridge!$CTW:$CTZ,Etheridge!$DDS:$DDV,Etheridge!$DNO:$DNR,Etheridge!$DXK:$DXN,Etheridge!$EHG:$EHJ,Etheridge!$ERC:$ERF,Etheridge!$FAY:$FBB,Etheridge!$FKU:$FKX,Etheridge!$FUQ:$FUT,Etheridge!$GEM:$GEP,Etheridge!$GOI:$GOL,Etheridge!$GYE:$GYH,Etheridge!$HIA:$HID,Etheridge!$HRW:$HRZ,Etheridge!$IBS:$IBV,Etheridge!$ILO:$ILR,Etheridge!$IVK:$IVN,Etheridge!$JFG:$JFJ,Etheridge!$JPC:$JPF,Etheridge!$JYY:$JZB,Etheridge!$KIU:$KIX,Etheridge!$KSQ:$KST,Etheridge!$LCM:$LCP,Etheridge!$LMI:$LML,Etheridge!$LWE:$LWH,Etheridge!$MGA:$MGD,Etheridge!$MPW:$MPZ,Etheridge!$MZS:$MZV,Etheridge!$NJO:$NJR,Etheridge!$NTK:$NTN,Etheridge!$ODG:$ODJ,Etheridge!$ONC:$ONF,Etheridge!$OWY:$OXB,Etheridge!$PGU:$PGX,Etheridge!$PQQ:$PQT,Etheridge!$QAM:$QAP,Etheridge!$QKI:$QKL,Etheridge!$QUE:$QUH,Etheridge!$REA:$RED,Etheridge!$RNW:$RNZ,Etheridge!$RXS:$RXV,Etheridge!$SHO:$SHR,Etheridge!$SRK:$SRN,Etheridge!$TBG:$TBJ,Etheridge!$TLC:$TLF,Etheridge!$TUY:$TVB,Etheridge!$UEU:$UEX,Etheridge!$UOQ:$UOT,Etheridge!$UYM:$UYP,Etheridge!$VII:$VIL,Etheridge!$VSE:$VSH,Etheridge!$WCA:$WCD,Etheridge!$WLW:$WLZ,Etheridge!$WVS:$WVV</definedName>
    <definedName name="Z_CA177B0E_0054_43B8_A082_5F02BC357538_.wvu.Cols" localSheetId="7" hidden="1">Flores1!#REF!,Flores1!$JD:$JG,Flores1!$SZ:$TC,Flores1!$ACV:$ACY,Flores1!$AMR:$AMU,Flores1!$AWN:$AWQ,Flores1!$BGJ:$BGM,Flores1!$BQF:$BQI,Flores1!$CAB:$CAE,Flores1!$CJX:$CKA,Flores1!$CTT:$CTW,Flores1!$DDP:$DDS,Flores1!$DNL:$DNO,Flores1!$DXH:$DXK,Flores1!$EHD:$EHG,Flores1!$EQZ:$ERC,Flores1!$FAV:$FAY,Flores1!$FKR:$FKU,Flores1!$FUN:$FUQ,Flores1!$GEJ:$GEM,Flores1!$GOF:$GOI,Flores1!$GYB:$GYE,Flores1!$HHX:$HIA,Flores1!$HRT:$HRW,Flores1!$IBP:$IBS,Flores1!$ILL:$ILO,Flores1!$IVH:$IVK,Flores1!$JFD:$JFG,Flores1!$JOZ:$JPC,Flores1!$JYV:$JYY,Flores1!$KIR:$KIU,Flores1!$KSN:$KSQ,Flores1!$LCJ:$LCM,Flores1!$LMF:$LMI,Flores1!$LWB:$LWE,Flores1!$MFX:$MGA,Flores1!$MPT:$MPW,Flores1!$MZP:$MZS,Flores1!$NJL:$NJO,Flores1!$NTH:$NTK,Flores1!$ODD:$ODG,Flores1!$OMZ:$ONC,Flores1!$OWV:$OWY,Flores1!$PGR:$PGU,Flores1!$PQN:$PQQ,Flores1!$QAJ:$QAM,Flores1!$QKF:$QKI,Flores1!$QUB:$QUE,Flores1!$RDX:$REA,Flores1!$RNT:$RNW,Flores1!$RXP:$RXS,Flores1!$SHL:$SHO,Flores1!$SRH:$SRK,Flores1!$TBD:$TBG,Flores1!$TKZ:$TLC,Flores1!$TUV:$TUY,Flores1!$UER:$UEU,Flores1!$UON:$UOQ,Flores1!$UYJ:$UYM,Flores1!$VIF:$VII,Flores1!$VSB:$VSE,Flores1!$WBX:$WCA,Flores1!$WLT:$WLW,Flores1!$WVP:$WVS</definedName>
    <definedName name="Z_CA177B0E_0054_43B8_A082_5F02BC357538_.wvu.Cols" localSheetId="8" hidden="1">'Franklin (SK)'!#REF!,'Franklin (SK)'!$JD:$JG,'Franklin (SK)'!$SZ:$TC,'Franklin (SK)'!$ACV:$ACY,'Franklin (SK)'!$AMR:$AMU,'Franklin (SK)'!$AWN:$AWQ,'Franklin (SK)'!$BGJ:$BGM,'Franklin (SK)'!$BQF:$BQI,'Franklin (SK)'!$CAB:$CAE,'Franklin (SK)'!$CJX:$CKA,'Franklin (SK)'!$CTT:$CTW,'Franklin (SK)'!$DDP:$DDS,'Franklin (SK)'!$DNL:$DNO,'Franklin (SK)'!$DXH:$DXK,'Franklin (SK)'!$EHD:$EHG,'Franklin (SK)'!$EQZ:$ERC,'Franklin (SK)'!$FAV:$FAY,'Franklin (SK)'!$FKR:$FKU,'Franklin (SK)'!$FUN:$FUQ,'Franklin (SK)'!$GEJ:$GEM,'Franklin (SK)'!$GOF:$GOI,'Franklin (SK)'!$GYB:$GYE,'Franklin (SK)'!$HHX:$HIA,'Franklin (SK)'!$HRT:$HRW,'Franklin (SK)'!$IBP:$IBS,'Franklin (SK)'!$ILL:$ILO,'Franklin (SK)'!$IVH:$IVK,'Franklin (SK)'!$JFD:$JFG,'Franklin (SK)'!$JOZ:$JPC,'Franklin (SK)'!$JYV:$JYY,'Franklin (SK)'!$KIR:$KIU,'Franklin (SK)'!$KSN:$KSQ,'Franklin (SK)'!$LCJ:$LCM,'Franklin (SK)'!$LMF:$LMI,'Franklin (SK)'!$LWB:$LWE,'Franklin (SK)'!$MFX:$MGA,'Franklin (SK)'!$MPT:$MPW,'Franklin (SK)'!$MZP:$MZS,'Franklin (SK)'!$NJL:$NJO,'Franklin (SK)'!$NTH:$NTK,'Franklin (SK)'!$ODD:$ODG,'Franklin (SK)'!$OMZ:$ONC,'Franklin (SK)'!$OWV:$OWY,'Franklin (SK)'!$PGR:$PGU,'Franklin (SK)'!$PQN:$PQQ,'Franklin (SK)'!$QAJ:$QAM,'Franklin (SK)'!$QKF:$QKI,'Franklin (SK)'!$QUB:$QUE,'Franklin (SK)'!$RDX:$REA,'Franklin (SK)'!$RNT:$RNW,'Franklin (SK)'!$RXP:$RXS,'Franklin (SK)'!$SHL:$SHO,'Franklin (SK)'!$SRH:$SRK,'Franklin (SK)'!$TBD:$TBG,'Franklin (SK)'!$TKZ:$TLC,'Franklin (SK)'!$TUV:$TUY,'Franklin (SK)'!$UER:$UEU,'Franklin (SK)'!$UON:$UOQ,'Franklin (SK)'!$UYJ:$UYM,'Franklin (SK)'!$VIF:$VII,'Franklin (SK)'!$VSB:$VSE,'Franklin (SK)'!$WBX:$WCA,'Franklin (SK)'!$WLT:$WLW,'Franklin (SK)'!$WVP:$WVS</definedName>
    <definedName name="Z_CA177B0E_0054_43B8_A082_5F02BC357538_.wvu.Cols" localSheetId="9" hidden="1">'He 10.25'!$K:$N,'He 10.25'!$JG:$JJ,'He 10.25'!$TC:$TF,'He 10.25'!$ACY:$ADB,'He 10.25'!$AMU:$AMX,'He 10.25'!$AWQ:$AWT,'He 10.25'!$BGM:$BGP,'He 10.25'!$BQI:$BQL,'He 10.25'!$CAE:$CAH,'He 10.25'!$CKA:$CKD,'He 10.25'!$CTW:$CTZ,'He 10.25'!$DDS:$DDV,'He 10.25'!$DNO:$DNR,'He 10.25'!$DXK:$DXN,'He 10.25'!$EHG:$EHJ,'He 10.25'!$ERC:$ERF,'He 10.25'!$FAY:$FBB,'He 10.25'!$FKU:$FKX,'He 10.25'!$FUQ:$FUT,'He 10.25'!$GEM:$GEP,'He 10.25'!$GOI:$GOL,'He 10.25'!$GYE:$GYH,'He 10.25'!$HIA:$HID,'He 10.25'!$HRW:$HRZ,'He 10.25'!$IBS:$IBV,'He 10.25'!$ILO:$ILR,'He 10.25'!$IVK:$IVN,'He 10.25'!$JFG:$JFJ,'He 10.25'!$JPC:$JPF,'He 10.25'!$JYY:$JZB,'He 10.25'!$KIU:$KIX,'He 10.25'!$KSQ:$KST,'He 10.25'!$LCM:$LCP,'He 10.25'!$LMI:$LML,'He 10.25'!$LWE:$LWH,'He 10.25'!$MGA:$MGD,'He 10.25'!$MPW:$MPZ,'He 10.25'!$MZS:$MZV,'He 10.25'!$NJO:$NJR,'He 10.25'!$NTK:$NTN,'He 10.25'!$ODG:$ODJ,'He 10.25'!$ONC:$ONF,'He 10.25'!$OWY:$OXB,'He 10.25'!$PGU:$PGX,'He 10.25'!$PQQ:$PQT,'He 10.25'!$QAM:$QAP,'He 10.25'!$QKI:$QKL,'He 10.25'!$QUE:$QUH,'He 10.25'!$REA:$RED,'He 10.25'!$RNW:$RNZ,'He 10.25'!$RXS:$RXV,'He 10.25'!$SHO:$SHR,'He 10.25'!$SRK:$SRN,'He 10.25'!$TBG:$TBJ,'He 10.25'!$TLC:$TLF,'He 10.25'!$TUY:$TVB,'He 10.25'!$UEU:$UEX,'He 10.25'!$UOQ:$UOT,'He 10.25'!$UYM:$UYP,'He 10.25'!$VII:$VIL,'He 10.25'!$VSE:$VSH,'He 10.25'!$WCA:$WCD,'He 10.25'!$WLW:$WLZ,'He 10.25'!$WVS:$WVV</definedName>
    <definedName name="Z_CA177B0E_0054_43B8_A082_5F02BC357538_.wvu.Cols" localSheetId="10" hidden="1">'Jordan, Michael'!$M:$P,'Jordan, Michael'!$JI:$JL,'Jordan, Michael'!$TE:$TH,'Jordan, Michael'!$ADA:$ADD,'Jordan, Michael'!$AMW:$AMZ,'Jordan, Michael'!$AWS:$AWV,'Jordan, Michael'!$BGO:$BGR,'Jordan, Michael'!$BQK:$BQN,'Jordan, Michael'!$CAG:$CAJ,'Jordan, Michael'!$CKC:$CKF,'Jordan, Michael'!$CTY:$CUB,'Jordan, Michael'!$DDU:$DDX,'Jordan, Michael'!$DNQ:$DNT,'Jordan, Michael'!$DXM:$DXP,'Jordan, Michael'!$EHI:$EHL,'Jordan, Michael'!$ERE:$ERH,'Jordan, Michael'!$FBA:$FBD,'Jordan, Michael'!$FKW:$FKZ,'Jordan, Michael'!$FUS:$FUV,'Jordan, Michael'!$GEO:$GER,'Jordan, Michael'!$GOK:$GON,'Jordan, Michael'!$GYG:$GYJ,'Jordan, Michael'!$HIC:$HIF,'Jordan, Michael'!$HRY:$HSB,'Jordan, Michael'!$IBU:$IBX,'Jordan, Michael'!$ILQ:$ILT,'Jordan, Michael'!$IVM:$IVP,'Jordan, Michael'!$JFI:$JFL,'Jordan, Michael'!$JPE:$JPH,'Jordan, Michael'!$JZA:$JZD,'Jordan, Michael'!$KIW:$KIZ,'Jordan, Michael'!$KSS:$KSV,'Jordan, Michael'!$LCO:$LCR,'Jordan, Michael'!$LMK:$LMN,'Jordan, Michael'!$LWG:$LWJ,'Jordan, Michael'!$MGC:$MGF,'Jordan, Michael'!$MPY:$MQB,'Jordan, Michael'!$MZU:$MZX,'Jordan, Michael'!$NJQ:$NJT,'Jordan, Michael'!$NTM:$NTP,'Jordan, Michael'!$ODI:$ODL,'Jordan, Michael'!$ONE:$ONH,'Jordan, Michael'!$OXA:$OXD,'Jordan, Michael'!$PGW:$PGZ,'Jordan, Michael'!$PQS:$PQV,'Jordan, Michael'!$QAO:$QAR,'Jordan, Michael'!$QKK:$QKN,'Jordan, Michael'!$QUG:$QUJ,'Jordan, Michael'!$REC:$REF,'Jordan, Michael'!$RNY:$ROB,'Jordan, Michael'!$RXU:$RXX,'Jordan, Michael'!$SHQ:$SHT,'Jordan, Michael'!$SRM:$SRP,'Jordan, Michael'!$TBI:$TBL,'Jordan, Michael'!$TLE:$TLH,'Jordan, Michael'!$TVA:$TVD,'Jordan, Michael'!$UEW:$UEZ,'Jordan, Michael'!$UOS:$UOV,'Jordan, Michael'!$UYO:$UYR,'Jordan, Michael'!$VIK:$VIN,'Jordan, Michael'!$VSG:$VSJ,'Jordan, Michael'!$WCC:$WCF,'Jordan, Michael'!$WLY:$WMB,'Jordan, Michael'!$WVU:$WVX</definedName>
    <definedName name="Z_CA177B0E_0054_43B8_A082_5F02BC357538_.wvu.Cols" localSheetId="11" hidden="1">'Jordan, Michalel2'!#REF!,'Jordan, Michalel2'!$JD:$JG,'Jordan, Michalel2'!$SZ:$TC,'Jordan, Michalel2'!$ACV:$ACY,'Jordan, Michalel2'!$AMR:$AMU,'Jordan, Michalel2'!$AWN:$AWQ,'Jordan, Michalel2'!$BGJ:$BGM,'Jordan, Michalel2'!$BQF:$BQI,'Jordan, Michalel2'!$CAB:$CAE,'Jordan, Michalel2'!$CJX:$CKA,'Jordan, Michalel2'!$CTT:$CTW,'Jordan, Michalel2'!$DDP:$DDS,'Jordan, Michalel2'!$DNL:$DNO,'Jordan, Michalel2'!$DXH:$DXK,'Jordan, Michalel2'!$EHD:$EHG,'Jordan, Michalel2'!$EQZ:$ERC,'Jordan, Michalel2'!$FAV:$FAY,'Jordan, Michalel2'!$FKR:$FKU,'Jordan, Michalel2'!$FUN:$FUQ,'Jordan, Michalel2'!$GEJ:$GEM,'Jordan, Michalel2'!$GOF:$GOI,'Jordan, Michalel2'!$GYB:$GYE,'Jordan, Michalel2'!$HHX:$HIA,'Jordan, Michalel2'!$HRT:$HRW,'Jordan, Michalel2'!$IBP:$IBS,'Jordan, Michalel2'!$ILL:$ILO,'Jordan, Michalel2'!$IVH:$IVK,'Jordan, Michalel2'!$JFD:$JFG,'Jordan, Michalel2'!$JOZ:$JPC,'Jordan, Michalel2'!$JYV:$JYY,'Jordan, Michalel2'!$KIR:$KIU,'Jordan, Michalel2'!$KSN:$KSQ,'Jordan, Michalel2'!$LCJ:$LCM,'Jordan, Michalel2'!$LMF:$LMI,'Jordan, Michalel2'!$LWB:$LWE,'Jordan, Michalel2'!$MFX:$MGA,'Jordan, Michalel2'!$MPT:$MPW,'Jordan, Michalel2'!$MZP:$MZS,'Jordan, Michalel2'!$NJL:$NJO,'Jordan, Michalel2'!$NTH:$NTK,'Jordan, Michalel2'!$ODD:$ODG,'Jordan, Michalel2'!$OMZ:$ONC,'Jordan, Michalel2'!$OWV:$OWY,'Jordan, Michalel2'!$PGR:$PGU,'Jordan, Michalel2'!$PQN:$PQQ,'Jordan, Michalel2'!$QAJ:$QAM,'Jordan, Michalel2'!$QKF:$QKI,'Jordan, Michalel2'!$QUB:$QUE,'Jordan, Michalel2'!$RDX:$REA,'Jordan, Michalel2'!$RNT:$RNW,'Jordan, Michalel2'!$RXP:$RXS,'Jordan, Michalel2'!$SHL:$SHO,'Jordan, Michalel2'!$SRH:$SRK,'Jordan, Michalel2'!$TBD:$TBG,'Jordan, Michalel2'!$TKZ:$TLC,'Jordan, Michalel2'!$TUV:$TUY,'Jordan, Michalel2'!$UER:$UEU,'Jordan, Michalel2'!$UON:$UOQ,'Jordan, Michalel2'!$UYJ:$UYM,'Jordan, Michalel2'!$VIF:$VII,'Jordan, Michalel2'!$VSB:$VSE,'Jordan, Michalel2'!$WBX:$WCA,'Jordan, Michalel2'!$WLT:$WLW,'Jordan, Michalel2'!$WVP:$WVS</definedName>
    <definedName name="Z_CA177B0E_0054_43B8_A082_5F02BC357538_.wvu.Cols" localSheetId="12" hidden="1">'Manoranjan, V. 11.25.'!$L:$O,'Manoranjan, V. 11.25.'!$JH:$JK,'Manoranjan, V. 11.25.'!$TD:$TG,'Manoranjan, V. 11.25.'!$ACZ:$ADC,'Manoranjan, V. 11.25.'!$AMV:$AMY,'Manoranjan, V. 11.25.'!$AWR:$AWU,'Manoranjan, V. 11.25.'!$BGN:$BGQ,'Manoranjan, V. 11.25.'!$BQJ:$BQM,'Manoranjan, V. 11.25.'!$CAF:$CAI,'Manoranjan, V. 11.25.'!$CKB:$CKE,'Manoranjan, V. 11.25.'!$CTX:$CUA,'Manoranjan, V. 11.25.'!$DDT:$DDW,'Manoranjan, V. 11.25.'!$DNP:$DNS,'Manoranjan, V. 11.25.'!$DXL:$DXO,'Manoranjan, V. 11.25.'!$EHH:$EHK,'Manoranjan, V. 11.25.'!$ERD:$ERG,'Manoranjan, V. 11.25.'!$FAZ:$FBC,'Manoranjan, V. 11.25.'!$FKV:$FKY,'Manoranjan, V. 11.25.'!$FUR:$FUU,'Manoranjan, V. 11.25.'!$GEN:$GEQ,'Manoranjan, V. 11.25.'!$GOJ:$GOM,'Manoranjan, V. 11.25.'!$GYF:$GYI,'Manoranjan, V. 11.25.'!$HIB:$HIE,'Manoranjan, V. 11.25.'!$HRX:$HSA,'Manoranjan, V. 11.25.'!$IBT:$IBW,'Manoranjan, V. 11.25.'!$ILP:$ILS,'Manoranjan, V. 11.25.'!$IVL:$IVO,'Manoranjan, V. 11.25.'!$JFH:$JFK,'Manoranjan, V. 11.25.'!$JPD:$JPG,'Manoranjan, V. 11.25.'!$JYZ:$JZC,'Manoranjan, V. 11.25.'!$KIV:$KIY,'Manoranjan, V. 11.25.'!$KSR:$KSU,'Manoranjan, V. 11.25.'!$LCN:$LCQ,'Manoranjan, V. 11.25.'!$LMJ:$LMM,'Manoranjan, V. 11.25.'!$LWF:$LWI,'Manoranjan, V. 11.25.'!$MGB:$MGE,'Manoranjan, V. 11.25.'!$MPX:$MQA,'Manoranjan, V. 11.25.'!$MZT:$MZW,'Manoranjan, V. 11.25.'!$NJP:$NJS,'Manoranjan, V. 11.25.'!$NTL:$NTO,'Manoranjan, V. 11.25.'!$ODH:$ODK,'Manoranjan, V. 11.25.'!$OND:$ONG,'Manoranjan, V. 11.25.'!$OWZ:$OXC,'Manoranjan, V. 11.25.'!$PGV:$PGY,'Manoranjan, V. 11.25.'!$PQR:$PQU,'Manoranjan, V. 11.25.'!$QAN:$QAQ,'Manoranjan, V. 11.25.'!$QKJ:$QKM,'Manoranjan, V. 11.25.'!$QUF:$QUI,'Manoranjan, V. 11.25.'!$REB:$REE,'Manoranjan, V. 11.25.'!$RNX:$ROA,'Manoranjan, V. 11.25.'!$RXT:$RXW,'Manoranjan, V. 11.25.'!$SHP:$SHS,'Manoranjan, V. 11.25.'!$SRL:$SRO,'Manoranjan, V. 11.25.'!$TBH:$TBK,'Manoranjan, V. 11.25.'!$TLD:$TLG,'Manoranjan, V. 11.25.'!$TUZ:$TVC,'Manoranjan, V. 11.25.'!$UEV:$UEY,'Manoranjan, V. 11.25.'!$UOR:$UOU,'Manoranjan, V. 11.25.'!$UYN:$UYQ,'Manoranjan, V. 11.25.'!$VIJ:$VIM,'Manoranjan, V. 11.25.'!$VSF:$VSI,'Manoranjan, V. 11.25.'!$WCB:$WCE,'Manoranjan, V. 11.25.'!$WLX:$WMA,'Manoranjan, V. 11.25.'!$WVT:$WVW</definedName>
    <definedName name="Z_CA177B0E_0054_43B8_A082_5F02BC357538_.wvu.Cols" localSheetId="13" hidden="1">'Max of Salary ex.'!$I:$L,'Max of Salary ex.'!$JD:$JG,'Max of Salary ex.'!$SZ:$TC,'Max of Salary ex.'!$ACV:$ACY,'Max of Salary ex.'!$AMR:$AMU,'Max of Salary ex.'!$AWN:$AWQ,'Max of Salary ex.'!$BGJ:$BGM,'Max of Salary ex.'!$BQF:$BQI,'Max of Salary ex.'!$CAB:$CAE,'Max of Salary ex.'!$CJX:$CKA,'Max of Salary ex.'!$CTT:$CTW,'Max of Salary ex.'!$DDP:$DDS,'Max of Salary ex.'!$DNL:$DNO,'Max of Salary ex.'!$DXH:$DXK,'Max of Salary ex.'!$EHD:$EHG,'Max of Salary ex.'!$EQZ:$ERC,'Max of Salary ex.'!$FAV:$FAY,'Max of Salary ex.'!$FKR:$FKU,'Max of Salary ex.'!$FUN:$FUQ,'Max of Salary ex.'!$GEJ:$GEM,'Max of Salary ex.'!$GOF:$GOI,'Max of Salary ex.'!$GYB:$GYE,'Max of Salary ex.'!$HHX:$HIA,'Max of Salary ex.'!$HRT:$HRW,'Max of Salary ex.'!$IBP:$IBS,'Max of Salary ex.'!$ILL:$ILO,'Max of Salary ex.'!$IVH:$IVK,'Max of Salary ex.'!$JFD:$JFG,'Max of Salary ex.'!$JOZ:$JPC,'Max of Salary ex.'!$JYV:$JYY,'Max of Salary ex.'!$KIR:$KIU,'Max of Salary ex.'!$KSN:$KSQ,'Max of Salary ex.'!$LCJ:$LCM,'Max of Salary ex.'!$LMF:$LMI,'Max of Salary ex.'!$LWB:$LWE,'Max of Salary ex.'!$MFX:$MGA,'Max of Salary ex.'!$MPT:$MPW,'Max of Salary ex.'!$MZP:$MZS,'Max of Salary ex.'!$NJL:$NJO,'Max of Salary ex.'!$NTH:$NTK,'Max of Salary ex.'!$ODD:$ODG,'Max of Salary ex.'!$OMZ:$ONC,'Max of Salary ex.'!$OWV:$OWY,'Max of Salary ex.'!$PGR:$PGU,'Max of Salary ex.'!$PQN:$PQQ,'Max of Salary ex.'!$QAJ:$QAM,'Max of Salary ex.'!$QKF:$QKI,'Max of Salary ex.'!$QUB:$QUE,'Max of Salary ex.'!$RDX:$REA,'Max of Salary ex.'!$RNT:$RNW,'Max of Salary ex.'!$RXP:$RXS,'Max of Salary ex.'!$SHL:$SHO,'Max of Salary ex.'!$SRH:$SRK,'Max of Salary ex.'!$TBD:$TBG,'Max of Salary ex.'!$TKZ:$TLC,'Max of Salary ex.'!$TUV:$TUY,'Max of Salary ex.'!$UER:$UEU,'Max of Salary ex.'!$UON:$UOQ,'Max of Salary ex.'!$UYJ:$UYM,'Max of Salary ex.'!$VIF:$VII,'Max of Salary ex.'!$VSB:$VSE,'Max of Salary ex.'!$WBX:$WCA,'Max of Salary ex.'!$WLT:$WLW,'Max of Salary ex.'!$WVP:$WVS</definedName>
    <definedName name="Z_CA177B0E_0054_43B8_A082_5F02BC357538_.wvu.Cols" localSheetId="14" hidden="1">'Max of Salary ex.  (2)'!$I:$L,'Max of Salary ex.  (2)'!$JD:$JG,'Max of Salary ex.  (2)'!$SZ:$TC,'Max of Salary ex.  (2)'!$ACV:$ACY,'Max of Salary ex.  (2)'!$AMR:$AMU,'Max of Salary ex.  (2)'!$AWN:$AWQ,'Max of Salary ex.  (2)'!$BGJ:$BGM,'Max of Salary ex.  (2)'!$BQF:$BQI,'Max of Salary ex.  (2)'!$CAB:$CAE,'Max of Salary ex.  (2)'!$CJX:$CKA,'Max of Salary ex.  (2)'!$CTT:$CTW,'Max of Salary ex.  (2)'!$DDP:$DDS,'Max of Salary ex.  (2)'!$DNL:$DNO,'Max of Salary ex.  (2)'!$DXH:$DXK,'Max of Salary ex.  (2)'!$EHD:$EHG,'Max of Salary ex.  (2)'!$EQZ:$ERC,'Max of Salary ex.  (2)'!$FAV:$FAY,'Max of Salary ex.  (2)'!$FKR:$FKU,'Max of Salary ex.  (2)'!$FUN:$FUQ,'Max of Salary ex.  (2)'!$GEJ:$GEM,'Max of Salary ex.  (2)'!$GOF:$GOI,'Max of Salary ex.  (2)'!$GYB:$GYE,'Max of Salary ex.  (2)'!$HHX:$HIA,'Max of Salary ex.  (2)'!$HRT:$HRW,'Max of Salary ex.  (2)'!$IBP:$IBS,'Max of Salary ex.  (2)'!$ILL:$ILO,'Max of Salary ex.  (2)'!$IVH:$IVK,'Max of Salary ex.  (2)'!$JFD:$JFG,'Max of Salary ex.  (2)'!$JOZ:$JPC,'Max of Salary ex.  (2)'!$JYV:$JYY,'Max of Salary ex.  (2)'!$KIR:$KIU,'Max of Salary ex.  (2)'!$KSN:$KSQ,'Max of Salary ex.  (2)'!$LCJ:$LCM,'Max of Salary ex.  (2)'!$LMF:$LMI,'Max of Salary ex.  (2)'!$LWB:$LWE,'Max of Salary ex.  (2)'!$MFX:$MGA,'Max of Salary ex.  (2)'!$MPT:$MPW,'Max of Salary ex.  (2)'!$MZP:$MZS,'Max of Salary ex.  (2)'!$NJL:$NJO,'Max of Salary ex.  (2)'!$NTH:$NTK,'Max of Salary ex.  (2)'!$ODD:$ODG,'Max of Salary ex.  (2)'!$OMZ:$ONC,'Max of Salary ex.  (2)'!$OWV:$OWY,'Max of Salary ex.  (2)'!$PGR:$PGU,'Max of Salary ex.  (2)'!$PQN:$PQQ,'Max of Salary ex.  (2)'!$QAJ:$QAM,'Max of Salary ex.  (2)'!$QKF:$QKI,'Max of Salary ex.  (2)'!$QUB:$QUE,'Max of Salary ex.  (2)'!$RDX:$REA,'Max of Salary ex.  (2)'!$RNT:$RNW,'Max of Salary ex.  (2)'!$RXP:$RXS,'Max of Salary ex.  (2)'!$SHL:$SHO,'Max of Salary ex.  (2)'!$SRH:$SRK,'Max of Salary ex.  (2)'!$TBD:$TBG,'Max of Salary ex.  (2)'!$TKZ:$TLC,'Max of Salary ex.  (2)'!$TUV:$TUY,'Max of Salary ex.  (2)'!$UER:$UEU,'Max of Salary ex.  (2)'!$UON:$UOQ,'Max of Salary ex.  (2)'!$UYJ:$UYM,'Max of Salary ex.  (2)'!$VIF:$VII,'Max of Salary ex.  (2)'!$VSB:$VSE,'Max of Salary ex.  (2)'!$WBX:$WCA,'Max of Salary ex.  (2)'!$WLT:$WLW,'Max of Salary ex.  (2)'!$WVP:$WVS</definedName>
    <definedName name="Z_CA177B0E_0054_43B8_A082_5F02BC357538_.wvu.Cols" localSheetId="15" hidden="1">'Max of Salary ex. 2'!$I:$L,'Max of Salary ex. 2'!$JE:$JH,'Max of Salary ex. 2'!$TA:$TD,'Max of Salary ex. 2'!$ACW:$ACZ,'Max of Salary ex. 2'!$AMS:$AMV,'Max of Salary ex. 2'!$AWO:$AWR,'Max of Salary ex. 2'!$BGK:$BGN,'Max of Salary ex. 2'!$BQG:$BQJ,'Max of Salary ex. 2'!$CAC:$CAF,'Max of Salary ex. 2'!$CJY:$CKB,'Max of Salary ex. 2'!$CTU:$CTX,'Max of Salary ex. 2'!$DDQ:$DDT,'Max of Salary ex. 2'!$DNM:$DNP,'Max of Salary ex. 2'!$DXI:$DXL,'Max of Salary ex. 2'!$EHE:$EHH,'Max of Salary ex. 2'!$ERA:$ERD,'Max of Salary ex. 2'!$FAW:$FAZ,'Max of Salary ex. 2'!$FKS:$FKV,'Max of Salary ex. 2'!$FUO:$FUR,'Max of Salary ex. 2'!$GEK:$GEN,'Max of Salary ex. 2'!$GOG:$GOJ,'Max of Salary ex. 2'!$GYC:$GYF,'Max of Salary ex. 2'!$HHY:$HIB,'Max of Salary ex. 2'!$HRU:$HRX,'Max of Salary ex. 2'!$IBQ:$IBT,'Max of Salary ex. 2'!$ILM:$ILP,'Max of Salary ex. 2'!$IVI:$IVL,'Max of Salary ex. 2'!$JFE:$JFH,'Max of Salary ex. 2'!$JPA:$JPD,'Max of Salary ex. 2'!$JYW:$JYZ,'Max of Salary ex. 2'!$KIS:$KIV,'Max of Salary ex. 2'!$KSO:$KSR,'Max of Salary ex. 2'!$LCK:$LCN,'Max of Salary ex. 2'!$LMG:$LMJ,'Max of Salary ex. 2'!$LWC:$LWF,'Max of Salary ex. 2'!$MFY:$MGB,'Max of Salary ex. 2'!$MPU:$MPX,'Max of Salary ex. 2'!$MZQ:$MZT,'Max of Salary ex. 2'!$NJM:$NJP,'Max of Salary ex. 2'!$NTI:$NTL,'Max of Salary ex. 2'!$ODE:$ODH,'Max of Salary ex. 2'!$ONA:$OND,'Max of Salary ex. 2'!$OWW:$OWZ,'Max of Salary ex. 2'!$PGS:$PGV,'Max of Salary ex. 2'!$PQO:$PQR,'Max of Salary ex. 2'!$QAK:$QAN,'Max of Salary ex. 2'!$QKG:$QKJ,'Max of Salary ex. 2'!$QUC:$QUF,'Max of Salary ex. 2'!$RDY:$REB,'Max of Salary ex. 2'!$RNU:$RNX,'Max of Salary ex. 2'!$RXQ:$RXT,'Max of Salary ex. 2'!$SHM:$SHP,'Max of Salary ex. 2'!$SRI:$SRL,'Max of Salary ex. 2'!$TBE:$TBH,'Max of Salary ex. 2'!$TLA:$TLD,'Max of Salary ex. 2'!$TUW:$TUZ,'Max of Salary ex. 2'!$UES:$UEV,'Max of Salary ex. 2'!$UOO:$UOR,'Max of Salary ex. 2'!$UYK:$UYN,'Max of Salary ex. 2'!$VIG:$VIJ,'Max of Salary ex. 2'!$VSC:$VSF,'Max of Salary ex. 2'!$WBY:$WCB,'Max of Salary ex. 2'!$WLU:$WLX,'Max of Salary ex. 2'!$WVQ:$WVT</definedName>
    <definedName name="Z_CA177B0E_0054_43B8_A082_5F02BC357538_.wvu.Cols" localSheetId="16" hidden="1">'Max of Salary ex. 2.'!$I:$L,'Max of Salary ex. 2.'!$JE:$JH,'Max of Salary ex. 2.'!$TA:$TD,'Max of Salary ex. 2.'!$ACW:$ACZ,'Max of Salary ex. 2.'!$AMS:$AMV,'Max of Salary ex. 2.'!$AWO:$AWR,'Max of Salary ex. 2.'!$BGK:$BGN,'Max of Salary ex. 2.'!$BQG:$BQJ,'Max of Salary ex. 2.'!$CAC:$CAF,'Max of Salary ex. 2.'!$CJY:$CKB,'Max of Salary ex. 2.'!$CTU:$CTX,'Max of Salary ex. 2.'!$DDQ:$DDT,'Max of Salary ex. 2.'!$DNM:$DNP,'Max of Salary ex. 2.'!$DXI:$DXL,'Max of Salary ex. 2.'!$EHE:$EHH,'Max of Salary ex. 2.'!$ERA:$ERD,'Max of Salary ex. 2.'!$FAW:$FAZ,'Max of Salary ex. 2.'!$FKS:$FKV,'Max of Salary ex. 2.'!$FUO:$FUR,'Max of Salary ex. 2.'!$GEK:$GEN,'Max of Salary ex. 2.'!$GOG:$GOJ,'Max of Salary ex. 2.'!$GYC:$GYF,'Max of Salary ex. 2.'!$HHY:$HIB,'Max of Salary ex. 2.'!$HRU:$HRX,'Max of Salary ex. 2.'!$IBQ:$IBT,'Max of Salary ex. 2.'!$ILM:$ILP,'Max of Salary ex. 2.'!$IVI:$IVL,'Max of Salary ex. 2.'!$JFE:$JFH,'Max of Salary ex. 2.'!$JPA:$JPD,'Max of Salary ex. 2.'!$JYW:$JYZ,'Max of Salary ex. 2.'!$KIS:$KIV,'Max of Salary ex. 2.'!$KSO:$KSR,'Max of Salary ex. 2.'!$LCK:$LCN,'Max of Salary ex. 2.'!$LMG:$LMJ,'Max of Salary ex. 2.'!$LWC:$LWF,'Max of Salary ex. 2.'!$MFY:$MGB,'Max of Salary ex. 2.'!$MPU:$MPX,'Max of Salary ex. 2.'!$MZQ:$MZT,'Max of Salary ex. 2.'!$NJM:$NJP,'Max of Salary ex. 2.'!$NTI:$NTL,'Max of Salary ex. 2.'!$ODE:$ODH,'Max of Salary ex. 2.'!$ONA:$OND,'Max of Salary ex. 2.'!$OWW:$OWZ,'Max of Salary ex. 2.'!$PGS:$PGV,'Max of Salary ex. 2.'!$PQO:$PQR,'Max of Salary ex. 2.'!$QAK:$QAN,'Max of Salary ex. 2.'!$QKG:$QKJ,'Max of Salary ex. 2.'!$QUC:$QUF,'Max of Salary ex. 2.'!$RDY:$REB,'Max of Salary ex. 2.'!$RNU:$RNX,'Max of Salary ex. 2.'!$RXQ:$RXT,'Max of Salary ex. 2.'!$SHM:$SHP,'Max of Salary ex. 2.'!$SRI:$SRL,'Max of Salary ex. 2.'!$TBE:$TBH,'Max of Salary ex. 2.'!$TLA:$TLD,'Max of Salary ex. 2.'!$TUW:$TUZ,'Max of Salary ex. 2.'!$UES:$UEV,'Max of Salary ex. 2.'!$UOO:$UOR,'Max of Salary ex. 2.'!$UYK:$UYN,'Max of Salary ex. 2.'!$VIG:$VIJ,'Max of Salary ex. 2.'!$VSC:$VSF,'Max of Salary ex. 2.'!$WBY:$WCB,'Max of Salary ex. 2.'!$WLU:$WLX,'Max of Salary ex. 2.'!$WVQ:$WVT</definedName>
    <definedName name="Z_CA177B0E_0054_43B8_A082_5F02BC357538_.wvu.Cols" localSheetId="17" hidden="1">'McClusky 11.25.'!#REF!,'McClusky 11.25.'!$JD:$JG,'McClusky 11.25.'!$SZ:$TC,'McClusky 11.25.'!$ACV:$ACY,'McClusky 11.25.'!$AMR:$AMU,'McClusky 11.25.'!$AWN:$AWQ,'McClusky 11.25.'!$BGJ:$BGM,'McClusky 11.25.'!$BQF:$BQI,'McClusky 11.25.'!$CAB:$CAE,'McClusky 11.25.'!$CJX:$CKA,'McClusky 11.25.'!$CTT:$CTW,'McClusky 11.25.'!$DDP:$DDS,'McClusky 11.25.'!$DNL:$DNO,'McClusky 11.25.'!$DXH:$DXK,'McClusky 11.25.'!$EHD:$EHG,'McClusky 11.25.'!$EQZ:$ERC,'McClusky 11.25.'!$FAV:$FAY,'McClusky 11.25.'!$FKR:$FKU,'McClusky 11.25.'!$FUN:$FUQ,'McClusky 11.25.'!$GEJ:$GEM,'McClusky 11.25.'!$GOF:$GOI,'McClusky 11.25.'!$GYB:$GYE,'McClusky 11.25.'!$HHX:$HIA,'McClusky 11.25.'!$HRT:$HRW,'McClusky 11.25.'!$IBP:$IBS,'McClusky 11.25.'!$ILL:$ILO,'McClusky 11.25.'!$IVH:$IVK,'McClusky 11.25.'!$JFD:$JFG,'McClusky 11.25.'!$JOZ:$JPC,'McClusky 11.25.'!$JYV:$JYY,'McClusky 11.25.'!$KIR:$KIU,'McClusky 11.25.'!$KSN:$KSQ,'McClusky 11.25.'!$LCJ:$LCM,'McClusky 11.25.'!$LMF:$LMI,'McClusky 11.25.'!$LWB:$LWE,'McClusky 11.25.'!$MFX:$MGA,'McClusky 11.25.'!$MPT:$MPW,'McClusky 11.25.'!$MZP:$MZS,'McClusky 11.25.'!$NJL:$NJO,'McClusky 11.25.'!$NTH:$NTK,'McClusky 11.25.'!$ODD:$ODG,'McClusky 11.25.'!$OMZ:$ONC,'McClusky 11.25.'!$OWV:$OWY,'McClusky 11.25.'!$PGR:$PGU,'McClusky 11.25.'!$PQN:$PQQ,'McClusky 11.25.'!$QAJ:$QAM,'McClusky 11.25.'!$QKF:$QKI,'McClusky 11.25.'!$QUB:$QUE,'McClusky 11.25.'!$RDX:$REA,'McClusky 11.25.'!$RNT:$RNW,'McClusky 11.25.'!$RXP:$RXS,'McClusky 11.25.'!$SHL:$SHO,'McClusky 11.25.'!$SRH:$SRK,'McClusky 11.25.'!$TBD:$TBG,'McClusky 11.25.'!$TKZ:$TLC,'McClusky 11.25.'!$TUV:$TUY,'McClusky 11.25.'!$UER:$UEU,'McClusky 11.25.'!$UON:$UOQ,'McClusky 11.25.'!$UYJ:$UYM,'McClusky 11.25.'!$VIF:$VII,'McClusky 11.25.'!$VSB:$VSE,'McClusky 11.25.'!$WBX:$WCA,'McClusky 11.25.'!$WLT:$WLW,'McClusky 11.25.'!$WVP:$WVS</definedName>
    <definedName name="Z_CA177B0E_0054_43B8_A082_5F02BC357538_.wvu.Cols" localSheetId="18" hidden="1">'McDonald (2)'!$K:$N,'McDonald (2)'!$JG:$JJ,'McDonald (2)'!$TC:$TF,'McDonald (2)'!$ACY:$ADB,'McDonald (2)'!$AMU:$AMX,'McDonald (2)'!$AWQ:$AWT,'McDonald (2)'!$BGM:$BGP,'McDonald (2)'!$BQI:$BQL,'McDonald (2)'!$CAE:$CAH,'McDonald (2)'!$CKA:$CKD,'McDonald (2)'!$CTW:$CTZ,'McDonald (2)'!$DDS:$DDV,'McDonald (2)'!$DNO:$DNR,'McDonald (2)'!$DXK:$DXN,'McDonald (2)'!$EHG:$EHJ,'McDonald (2)'!$ERC:$ERF,'McDonald (2)'!$FAY:$FBB,'McDonald (2)'!$FKU:$FKX,'McDonald (2)'!$FUQ:$FUT,'McDonald (2)'!$GEM:$GEP,'McDonald (2)'!$GOI:$GOL,'McDonald (2)'!$GYE:$GYH,'McDonald (2)'!$HIA:$HID,'McDonald (2)'!$HRW:$HRZ,'McDonald (2)'!$IBS:$IBV,'McDonald (2)'!$ILO:$ILR,'McDonald (2)'!$IVK:$IVN,'McDonald (2)'!$JFG:$JFJ,'McDonald (2)'!$JPC:$JPF,'McDonald (2)'!$JYY:$JZB,'McDonald (2)'!$KIU:$KIX,'McDonald (2)'!$KSQ:$KST,'McDonald (2)'!$LCM:$LCP,'McDonald (2)'!$LMI:$LML,'McDonald (2)'!$LWE:$LWH,'McDonald (2)'!$MGA:$MGD,'McDonald (2)'!$MPW:$MPZ,'McDonald (2)'!$MZS:$MZV,'McDonald (2)'!$NJO:$NJR,'McDonald (2)'!$NTK:$NTN,'McDonald (2)'!$ODG:$ODJ,'McDonald (2)'!$ONC:$ONF,'McDonald (2)'!$OWY:$OXB,'McDonald (2)'!$PGU:$PGX,'McDonald (2)'!$PQQ:$PQT,'McDonald (2)'!$QAM:$QAP,'McDonald (2)'!$QKI:$QKL,'McDonald (2)'!$QUE:$QUH,'McDonald (2)'!$REA:$RED,'McDonald (2)'!$RNW:$RNZ,'McDonald (2)'!$RXS:$RXV,'McDonald (2)'!$SHO:$SHR,'McDonald (2)'!$SRK:$SRN,'McDonald (2)'!$TBG:$TBJ,'McDonald (2)'!$TLC:$TLF,'McDonald (2)'!$TUY:$TVB,'McDonald (2)'!$UEU:$UEX,'McDonald (2)'!$UOQ:$UOT,'McDonald (2)'!$UYM:$UYP,'McDonald (2)'!$VII:$VIL,'McDonald (2)'!$VSE:$VSH,'McDonald (2)'!$WCA:$WCD,'McDonald (2)'!$WLW:$WLZ,'McDonald (2)'!$WVS:$WVV</definedName>
    <definedName name="Z_CA177B0E_0054_43B8_A082_5F02BC357538_.wvu.Cols" localSheetId="19" hidden="1">Netzhammer!$K:$N,Netzhammer!$JG:$JJ,Netzhammer!$TC:$TF,Netzhammer!$ACY:$ADB,Netzhammer!$AMU:$AMX,Netzhammer!$AWQ:$AWT,Netzhammer!$BGM:$BGP,Netzhammer!$BQI:$BQL,Netzhammer!$CAE:$CAH,Netzhammer!$CKA:$CKD,Netzhammer!$CTW:$CTZ,Netzhammer!$DDS:$DDV,Netzhammer!$DNO:$DNR,Netzhammer!$DXK:$DXN,Netzhammer!$EHG:$EHJ,Netzhammer!$ERC:$ERF,Netzhammer!$FAY:$FBB,Netzhammer!$FKU:$FKX,Netzhammer!$FUQ:$FUT,Netzhammer!$GEM:$GEP,Netzhammer!$GOI:$GOL,Netzhammer!$GYE:$GYH,Netzhammer!$HIA:$HID,Netzhammer!$HRW:$HRZ,Netzhammer!$IBS:$IBV,Netzhammer!$ILO:$ILR,Netzhammer!$IVK:$IVN,Netzhammer!$JFG:$JFJ,Netzhammer!$JPC:$JPF,Netzhammer!$JYY:$JZB,Netzhammer!$KIU:$KIX,Netzhammer!$KSQ:$KST,Netzhammer!$LCM:$LCP,Netzhammer!$LMI:$LML,Netzhammer!$LWE:$LWH,Netzhammer!$MGA:$MGD,Netzhammer!$MPW:$MPZ,Netzhammer!$MZS:$MZV,Netzhammer!$NJO:$NJR,Netzhammer!$NTK:$NTN,Netzhammer!$ODG:$ODJ,Netzhammer!$ONC:$ONF,Netzhammer!$OWY:$OXB,Netzhammer!$PGU:$PGX,Netzhammer!$PQQ:$PQT,Netzhammer!$QAM:$QAP,Netzhammer!$QKI:$QKL,Netzhammer!$QUE:$QUH,Netzhammer!$REA:$RED,Netzhammer!$RNW:$RNZ,Netzhammer!$RXS:$RXV,Netzhammer!$SHO:$SHR,Netzhammer!$SRK:$SRN,Netzhammer!$TBG:$TBJ,Netzhammer!$TLC:$TLF,Netzhammer!$TUY:$TVB,Netzhammer!$UEU:$UEX,Netzhammer!$UOQ:$UOT,Netzhammer!$UYM:$UYP,Netzhammer!$VII:$VIL,Netzhammer!$VSE:$VSH,Netzhammer!$WCA:$WCD,Netzhammer!$WLW:$WLZ,Netzhammer!$WVS:$WVV</definedName>
    <definedName name="Z_CA177B0E_0054_43B8_A082_5F02BC357538_.wvu.Cols" localSheetId="21" hidden="1">'Sanders 12.10 (SK)'!#REF!,'Sanders 12.10 (SK)'!$JD:$JG,'Sanders 12.10 (SK)'!$SZ:$TC,'Sanders 12.10 (SK)'!$ACV:$ACY,'Sanders 12.10 (SK)'!$AMR:$AMU,'Sanders 12.10 (SK)'!$AWN:$AWQ,'Sanders 12.10 (SK)'!$BGJ:$BGM,'Sanders 12.10 (SK)'!$BQF:$BQI,'Sanders 12.10 (SK)'!$CAB:$CAE,'Sanders 12.10 (SK)'!$CJX:$CKA,'Sanders 12.10 (SK)'!$CTT:$CTW,'Sanders 12.10 (SK)'!$DDP:$DDS,'Sanders 12.10 (SK)'!$DNL:$DNO,'Sanders 12.10 (SK)'!$DXH:$DXK,'Sanders 12.10 (SK)'!$EHD:$EHG,'Sanders 12.10 (SK)'!$EQZ:$ERC,'Sanders 12.10 (SK)'!$FAV:$FAY,'Sanders 12.10 (SK)'!$FKR:$FKU,'Sanders 12.10 (SK)'!$FUN:$FUQ,'Sanders 12.10 (SK)'!$GEJ:$GEM,'Sanders 12.10 (SK)'!$GOF:$GOI,'Sanders 12.10 (SK)'!$GYB:$GYE,'Sanders 12.10 (SK)'!$HHX:$HIA,'Sanders 12.10 (SK)'!$HRT:$HRW,'Sanders 12.10 (SK)'!$IBP:$IBS,'Sanders 12.10 (SK)'!$ILL:$ILO,'Sanders 12.10 (SK)'!$IVH:$IVK,'Sanders 12.10 (SK)'!$JFD:$JFG,'Sanders 12.10 (SK)'!$JOZ:$JPC,'Sanders 12.10 (SK)'!$JYV:$JYY,'Sanders 12.10 (SK)'!$KIR:$KIU,'Sanders 12.10 (SK)'!$KSN:$KSQ,'Sanders 12.10 (SK)'!$LCJ:$LCM,'Sanders 12.10 (SK)'!$LMF:$LMI,'Sanders 12.10 (SK)'!$LWB:$LWE,'Sanders 12.10 (SK)'!$MFX:$MGA,'Sanders 12.10 (SK)'!$MPT:$MPW,'Sanders 12.10 (SK)'!$MZP:$MZS,'Sanders 12.10 (SK)'!$NJL:$NJO,'Sanders 12.10 (SK)'!$NTH:$NTK,'Sanders 12.10 (SK)'!$ODD:$ODG,'Sanders 12.10 (SK)'!$OMZ:$ONC,'Sanders 12.10 (SK)'!$OWV:$OWY,'Sanders 12.10 (SK)'!$PGR:$PGU,'Sanders 12.10 (SK)'!$PQN:$PQQ,'Sanders 12.10 (SK)'!$QAJ:$QAM,'Sanders 12.10 (SK)'!$QKF:$QKI,'Sanders 12.10 (SK)'!$QUB:$QUE,'Sanders 12.10 (SK)'!$RDX:$REA,'Sanders 12.10 (SK)'!$RNT:$RNW,'Sanders 12.10 (SK)'!$RXP:$RXS,'Sanders 12.10 (SK)'!$SHL:$SHO,'Sanders 12.10 (SK)'!$SRH:$SRK,'Sanders 12.10 (SK)'!$TBD:$TBG,'Sanders 12.10 (SK)'!$TKZ:$TLC,'Sanders 12.10 (SK)'!$TUV:$TUY,'Sanders 12.10 (SK)'!$UER:$UEU,'Sanders 12.10 (SK)'!$UON:$UOQ,'Sanders 12.10 (SK)'!$UYJ:$UYM,'Sanders 12.10 (SK)'!$VIF:$VII,'Sanders 12.10 (SK)'!$VSB:$VSE,'Sanders 12.10 (SK)'!$WBX:$WCA,'Sanders 12.10 (SK)'!$WLT:$WLW,'Sanders 12.10 (SK)'!$WVP:$WVS</definedName>
    <definedName name="Z_CA177B0E_0054_43B8_A082_5F02BC357538_.wvu.Cols" localSheetId="22" hidden="1">'Schulz, N'!$K:$N,'Schulz, N'!$JG:$JJ,'Schulz, N'!$TC:$TF,'Schulz, N'!$ACY:$ADB,'Schulz, N'!$AMU:$AMX,'Schulz, N'!$AWQ:$AWT,'Schulz, N'!$BGM:$BGP,'Schulz, N'!$BQI:$BQL,'Schulz, N'!$CAE:$CAH,'Schulz, N'!$CKA:$CKD,'Schulz, N'!$CTW:$CTZ,'Schulz, N'!$DDS:$DDV,'Schulz, N'!$DNO:$DNR,'Schulz, N'!$DXK:$DXN,'Schulz, N'!$EHG:$EHJ,'Schulz, N'!$ERC:$ERF,'Schulz, N'!$FAY:$FBB,'Schulz, N'!$FKU:$FKX,'Schulz, N'!$FUQ:$FUT,'Schulz, N'!$GEM:$GEP,'Schulz, N'!$GOI:$GOL,'Schulz, N'!$GYE:$GYH,'Schulz, N'!$HIA:$HID,'Schulz, N'!$HRW:$HRZ,'Schulz, N'!$IBS:$IBV,'Schulz, N'!$ILO:$ILR,'Schulz, N'!$IVK:$IVN,'Schulz, N'!$JFG:$JFJ,'Schulz, N'!$JPC:$JPF,'Schulz, N'!$JYY:$JZB,'Schulz, N'!$KIU:$KIX,'Schulz, N'!$KSQ:$KST,'Schulz, N'!$LCM:$LCP,'Schulz, N'!$LMI:$LML,'Schulz, N'!$LWE:$LWH,'Schulz, N'!$MGA:$MGD,'Schulz, N'!$MPW:$MPZ,'Schulz, N'!$MZS:$MZV,'Schulz, N'!$NJO:$NJR,'Schulz, N'!$NTK:$NTN,'Schulz, N'!$ODG:$ODJ,'Schulz, N'!$ONC:$ONF,'Schulz, N'!$OWY:$OXB,'Schulz, N'!$PGU:$PGX,'Schulz, N'!$PQQ:$PQT,'Schulz, N'!$QAM:$QAP,'Schulz, N'!$QKI:$QKL,'Schulz, N'!$QUE:$QUH,'Schulz, N'!$REA:$RED,'Schulz, N'!$RNW:$RNZ,'Schulz, N'!$RXS:$RXV,'Schulz, N'!$SHO:$SHR,'Schulz, N'!$SRK:$SRN,'Schulz, N'!$TBG:$TBJ,'Schulz, N'!$TLC:$TLF,'Schulz, N'!$TUY:$TVB,'Schulz, N'!$UEU:$UEX,'Schulz, N'!$UOQ:$UOT,'Schulz, N'!$UYM:$UYP,'Schulz, N'!$VII:$VIL,'Schulz, N'!$VSE:$VSH,'Schulz, N'!$WCA:$WCD,'Schulz, N'!$WLW:$WLZ,'Schulz, N'!$WVS:$WVV</definedName>
    <definedName name="Z_CA177B0E_0054_43B8_A082_5F02BC357538_.wvu.Cols" localSheetId="23" hidden="1">'Smith, Lloyd 11.25.'!#REF!,'Smith, Lloyd 11.25.'!$JD:$JG,'Smith, Lloyd 11.25.'!$SZ:$TC,'Smith, Lloyd 11.25.'!$ACV:$ACY,'Smith, Lloyd 11.25.'!$AMR:$AMU,'Smith, Lloyd 11.25.'!$AWN:$AWQ,'Smith, Lloyd 11.25.'!$BGJ:$BGM,'Smith, Lloyd 11.25.'!$BQF:$BQI,'Smith, Lloyd 11.25.'!$CAB:$CAE,'Smith, Lloyd 11.25.'!$CJX:$CKA,'Smith, Lloyd 11.25.'!$CTT:$CTW,'Smith, Lloyd 11.25.'!$DDP:$DDS,'Smith, Lloyd 11.25.'!$DNL:$DNO,'Smith, Lloyd 11.25.'!$DXH:$DXK,'Smith, Lloyd 11.25.'!$EHD:$EHG,'Smith, Lloyd 11.25.'!$EQZ:$ERC,'Smith, Lloyd 11.25.'!$FAV:$FAY,'Smith, Lloyd 11.25.'!$FKR:$FKU,'Smith, Lloyd 11.25.'!$FUN:$FUQ,'Smith, Lloyd 11.25.'!$GEJ:$GEM,'Smith, Lloyd 11.25.'!$GOF:$GOI,'Smith, Lloyd 11.25.'!$GYB:$GYE,'Smith, Lloyd 11.25.'!$HHX:$HIA,'Smith, Lloyd 11.25.'!$HRT:$HRW,'Smith, Lloyd 11.25.'!$IBP:$IBS,'Smith, Lloyd 11.25.'!$ILL:$ILO,'Smith, Lloyd 11.25.'!$IVH:$IVK,'Smith, Lloyd 11.25.'!$JFD:$JFG,'Smith, Lloyd 11.25.'!$JOZ:$JPC,'Smith, Lloyd 11.25.'!$JYV:$JYY,'Smith, Lloyd 11.25.'!$KIR:$KIU,'Smith, Lloyd 11.25.'!$KSN:$KSQ,'Smith, Lloyd 11.25.'!$LCJ:$LCM,'Smith, Lloyd 11.25.'!$LMF:$LMI,'Smith, Lloyd 11.25.'!$LWB:$LWE,'Smith, Lloyd 11.25.'!$MFX:$MGA,'Smith, Lloyd 11.25.'!$MPT:$MPW,'Smith, Lloyd 11.25.'!$MZP:$MZS,'Smith, Lloyd 11.25.'!$NJL:$NJO,'Smith, Lloyd 11.25.'!$NTH:$NTK,'Smith, Lloyd 11.25.'!$ODD:$ODG,'Smith, Lloyd 11.25.'!$OMZ:$ONC,'Smith, Lloyd 11.25.'!$OWV:$OWY,'Smith, Lloyd 11.25.'!$PGR:$PGU,'Smith, Lloyd 11.25.'!$PQN:$PQQ,'Smith, Lloyd 11.25.'!$QAJ:$QAM,'Smith, Lloyd 11.25.'!$QKF:$QKI,'Smith, Lloyd 11.25.'!$QUB:$QUE,'Smith, Lloyd 11.25.'!$RDX:$REA,'Smith, Lloyd 11.25.'!$RNT:$RNW,'Smith, Lloyd 11.25.'!$RXP:$RXS,'Smith, Lloyd 11.25.'!$SHL:$SHO,'Smith, Lloyd 11.25.'!$SRH:$SRK,'Smith, Lloyd 11.25.'!$TBD:$TBG,'Smith, Lloyd 11.25.'!$TKZ:$TLC,'Smith, Lloyd 11.25.'!$TUV:$TUY,'Smith, Lloyd 11.25.'!$UER:$UEU,'Smith, Lloyd 11.25.'!$UON:$UOQ,'Smith, Lloyd 11.25.'!$UYJ:$UYM,'Smith, Lloyd 11.25.'!$VIF:$VII,'Smith, Lloyd 11.25.'!$VSB:$VSE,'Smith, Lloyd 11.25.'!$WBX:$WCA,'Smith, Lloyd 11.25.'!$WLT:$WLW,'Smith, Lloyd 11.25.'!$WVP:$WVS</definedName>
    <definedName name="Z_CA177B0E_0054_43B8_A082_5F02BC357538_.wvu.Cols" localSheetId="24" hidden="1">Thomas!#REF!,Thomas!$JD:$JG,Thomas!$SZ:$TC,Thomas!$ACV:$ACY,Thomas!$AMR:$AMU,Thomas!$AWN:$AWQ,Thomas!$BGJ:$BGM,Thomas!$BQF:$BQI,Thomas!$CAB:$CAE,Thomas!$CJX:$CKA,Thomas!$CTT:$CTW,Thomas!$DDP:$DDS,Thomas!$DNL:$DNO,Thomas!$DXH:$DXK,Thomas!$EHD:$EHG,Thomas!$EQZ:$ERC,Thomas!$FAV:$FAY,Thomas!$FKR:$FKU,Thomas!$FUN:$FUQ,Thomas!$GEJ:$GEM,Thomas!$GOF:$GOI,Thomas!$GYB:$GYE,Thomas!$HHX:$HIA,Thomas!$HRT:$HRW,Thomas!$IBP:$IBS,Thomas!$ILL:$ILO,Thomas!$IVH:$IVK,Thomas!$JFD:$JFG,Thomas!$JOZ:$JPC,Thomas!$JYV:$JYY,Thomas!$KIR:$KIU,Thomas!$KSN:$KSQ,Thomas!$LCJ:$LCM,Thomas!$LMF:$LMI,Thomas!$LWB:$LWE,Thomas!$MFX:$MGA,Thomas!$MPT:$MPW,Thomas!$MZP:$MZS,Thomas!$NJL:$NJO,Thomas!$NTH:$NTK,Thomas!$ODD:$ODG,Thomas!$OMZ:$ONC,Thomas!$OWV:$OWY,Thomas!$PGR:$PGU,Thomas!$PQN:$PQQ,Thomas!$QAJ:$QAM,Thomas!$QKF:$QKI,Thomas!$QUB:$QUE,Thomas!$RDX:$REA,Thomas!$RNT:$RNW,Thomas!$RXP:$RXS,Thomas!$SHL:$SHO,Thomas!$SRH:$SRK,Thomas!$TBD:$TBG,Thomas!$TKZ:$TLC,Thomas!$TUV:$TUY,Thomas!$UER:$UEU,Thomas!$UON:$UOQ,Thomas!$UYJ:$UYM,Thomas!$VIF:$VII,Thomas!$VSB:$VSE,Thomas!$WBX:$WCA,Thomas!$WLT:$WLW,Thomas!$WVP:$WVS</definedName>
    <definedName name="Z_CA177B0E_0054_43B8_A082_5F02BC357538_.wvu.Cols" localSheetId="25" hidden="1">'Wilkins-Fontenor 11.25.1'!#REF!,'Wilkins-Fontenor 11.25.1'!$JD:$JG,'Wilkins-Fontenor 11.25.1'!$SZ:$TC,'Wilkins-Fontenor 11.25.1'!$ACV:$ACY,'Wilkins-Fontenor 11.25.1'!$AMR:$AMU,'Wilkins-Fontenor 11.25.1'!$AWN:$AWQ,'Wilkins-Fontenor 11.25.1'!$BGJ:$BGM,'Wilkins-Fontenor 11.25.1'!$BQF:$BQI,'Wilkins-Fontenor 11.25.1'!$CAB:$CAE,'Wilkins-Fontenor 11.25.1'!$CJX:$CKA,'Wilkins-Fontenor 11.25.1'!$CTT:$CTW,'Wilkins-Fontenor 11.25.1'!$DDP:$DDS,'Wilkins-Fontenor 11.25.1'!$DNL:$DNO,'Wilkins-Fontenor 11.25.1'!$DXH:$DXK,'Wilkins-Fontenor 11.25.1'!$EHD:$EHG,'Wilkins-Fontenor 11.25.1'!$EQZ:$ERC,'Wilkins-Fontenor 11.25.1'!$FAV:$FAY,'Wilkins-Fontenor 11.25.1'!$FKR:$FKU,'Wilkins-Fontenor 11.25.1'!$FUN:$FUQ,'Wilkins-Fontenor 11.25.1'!$GEJ:$GEM,'Wilkins-Fontenor 11.25.1'!$GOF:$GOI,'Wilkins-Fontenor 11.25.1'!$GYB:$GYE,'Wilkins-Fontenor 11.25.1'!$HHX:$HIA,'Wilkins-Fontenor 11.25.1'!$HRT:$HRW,'Wilkins-Fontenor 11.25.1'!$IBP:$IBS,'Wilkins-Fontenor 11.25.1'!$ILL:$ILO,'Wilkins-Fontenor 11.25.1'!$IVH:$IVK,'Wilkins-Fontenor 11.25.1'!$JFD:$JFG,'Wilkins-Fontenor 11.25.1'!$JOZ:$JPC,'Wilkins-Fontenor 11.25.1'!$JYV:$JYY,'Wilkins-Fontenor 11.25.1'!$KIR:$KIU,'Wilkins-Fontenor 11.25.1'!$KSN:$KSQ,'Wilkins-Fontenor 11.25.1'!$LCJ:$LCM,'Wilkins-Fontenor 11.25.1'!$LMF:$LMI,'Wilkins-Fontenor 11.25.1'!$LWB:$LWE,'Wilkins-Fontenor 11.25.1'!$MFX:$MGA,'Wilkins-Fontenor 11.25.1'!$MPT:$MPW,'Wilkins-Fontenor 11.25.1'!$MZP:$MZS,'Wilkins-Fontenor 11.25.1'!$NJL:$NJO,'Wilkins-Fontenor 11.25.1'!$NTH:$NTK,'Wilkins-Fontenor 11.25.1'!$ODD:$ODG,'Wilkins-Fontenor 11.25.1'!$OMZ:$ONC,'Wilkins-Fontenor 11.25.1'!$OWV:$OWY,'Wilkins-Fontenor 11.25.1'!$PGR:$PGU,'Wilkins-Fontenor 11.25.1'!$PQN:$PQQ,'Wilkins-Fontenor 11.25.1'!$QAJ:$QAM,'Wilkins-Fontenor 11.25.1'!$QKF:$QKI,'Wilkins-Fontenor 11.25.1'!$QUB:$QUE,'Wilkins-Fontenor 11.25.1'!$RDX:$REA,'Wilkins-Fontenor 11.25.1'!$RNT:$RNW,'Wilkins-Fontenor 11.25.1'!$RXP:$RXS,'Wilkins-Fontenor 11.25.1'!$SHL:$SHO,'Wilkins-Fontenor 11.25.1'!$SRH:$SRK,'Wilkins-Fontenor 11.25.1'!$TBD:$TBG,'Wilkins-Fontenor 11.25.1'!$TKZ:$TLC,'Wilkins-Fontenor 11.25.1'!$TUV:$TUY,'Wilkins-Fontenor 11.25.1'!$UER:$UEU,'Wilkins-Fontenor 11.25.1'!$UON:$UOQ,'Wilkins-Fontenor 11.25.1'!$UYJ:$UYM,'Wilkins-Fontenor 11.25.1'!$VIF:$VII,'Wilkins-Fontenor 11.25.1'!$VSB:$VSE,'Wilkins-Fontenor 11.25.1'!$WBX:$WCA,'Wilkins-Fontenor 11.25.1'!$WLT:$WLW,'Wilkins-Fontenor 11.25.1'!$WVP:$WVS</definedName>
  </definedNames>
  <calcPr calcId="191029"/>
  <customWorkbookViews>
    <customWorkbookView name="Monroe, Ann - Personal View" guid="{38B7F0AC-1968-4179-B248-6144E152B72B}" mergeInterval="0" personalView="1" maximized="1" xWindow="-8" yWindow="-8" windowWidth="1936" windowHeight="1056" activeSheetId="17"/>
    <customWorkbookView name="Vaughn, Tracy M - Personal View" guid="{B51D5B49-D308-4214-86D8-9F7F021478DE}" mergeInterval="0" personalView="1" maximized="1" xWindow="1911" yWindow="-9" windowWidth="1938" windowHeight="1098" activeSheetId="38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811" l="1"/>
  <c r="A27" i="1811"/>
  <c r="A25" i="1811"/>
  <c r="A21" i="1811"/>
  <c r="J34" i="1442" l="1"/>
  <c r="H30" i="1442"/>
  <c r="G30" i="1442"/>
  <c r="F30" i="1442"/>
  <c r="F32" i="1442" s="1"/>
  <c r="E29" i="1442"/>
  <c r="C29" i="1442"/>
  <c r="E28" i="1442"/>
  <c r="C28" i="1442"/>
  <c r="E27" i="1442"/>
  <c r="D27" i="1442"/>
  <c r="D30" i="1442" s="1"/>
  <c r="C27" i="1442"/>
  <c r="E24" i="1442"/>
  <c r="E22" i="1442"/>
  <c r="C22" i="1442"/>
  <c r="E21" i="1442"/>
  <c r="C21" i="1442"/>
  <c r="E20" i="1442"/>
  <c r="C20" i="1442"/>
  <c r="E19" i="1442"/>
  <c r="C19" i="1442"/>
  <c r="E18" i="1442"/>
  <c r="C18" i="1442"/>
  <c r="E17" i="1442"/>
  <c r="C17" i="1442"/>
  <c r="E16" i="1442"/>
  <c r="C16" i="1442"/>
  <c r="E15" i="1442"/>
  <c r="C15" i="1442"/>
  <c r="E14" i="1442"/>
  <c r="C14" i="1442"/>
  <c r="E13" i="1442"/>
  <c r="C13" i="1442"/>
  <c r="E12" i="1442"/>
  <c r="C12" i="1442"/>
  <c r="E11" i="1442"/>
  <c r="C11" i="1442"/>
  <c r="E10" i="1442"/>
  <c r="C10" i="1442"/>
  <c r="E9" i="1442"/>
  <c r="C9" i="1442"/>
  <c r="E8" i="1442"/>
  <c r="C8" i="1442"/>
  <c r="E7" i="1442"/>
  <c r="C7" i="1442"/>
  <c r="E6" i="1442"/>
  <c r="C6" i="1442"/>
  <c r="J4" i="1442"/>
  <c r="J5" i="1442" s="1"/>
  <c r="B26" i="1442" s="1"/>
  <c r="B30" i="1442" s="1"/>
  <c r="C31" i="1442" s="1"/>
  <c r="E31" i="1442" s="1"/>
  <c r="H30" i="1441"/>
  <c r="G30" i="1441"/>
  <c r="F30" i="1441"/>
  <c r="F32" i="1441" s="1"/>
  <c r="D30" i="1441"/>
  <c r="D32" i="1441" s="1"/>
  <c r="E25" i="1441"/>
  <c r="C25" i="1441"/>
  <c r="E24" i="1441"/>
  <c r="C24" i="1441"/>
  <c r="E23" i="1441"/>
  <c r="C23" i="1441"/>
  <c r="E22" i="1441"/>
  <c r="C22" i="1441"/>
  <c r="E21" i="1441"/>
  <c r="C21" i="1441"/>
  <c r="E20" i="1441"/>
  <c r="C20" i="1441"/>
  <c r="E19" i="1441"/>
  <c r="C19" i="1441"/>
  <c r="E18" i="1441"/>
  <c r="C18" i="1441"/>
  <c r="E17" i="1441"/>
  <c r="C17" i="1441"/>
  <c r="E16" i="1441"/>
  <c r="C16" i="1441"/>
  <c r="E15" i="1441"/>
  <c r="C15" i="1441"/>
  <c r="E14" i="1441"/>
  <c r="C14" i="1441"/>
  <c r="E13" i="1441"/>
  <c r="C13" i="1441"/>
  <c r="E12" i="1441"/>
  <c r="C12" i="1441"/>
  <c r="E11" i="1441"/>
  <c r="C11" i="1441"/>
  <c r="E10" i="1441"/>
  <c r="C10" i="1441"/>
  <c r="E9" i="1441"/>
  <c r="C9" i="1441"/>
  <c r="E8" i="1441"/>
  <c r="C8" i="1441"/>
  <c r="E7" i="1441"/>
  <c r="C7" i="1441"/>
  <c r="E6" i="1441"/>
  <c r="C6" i="1441"/>
  <c r="J5" i="1441"/>
  <c r="E29" i="1441" s="1"/>
  <c r="J3" i="1441"/>
  <c r="O5" i="1441" l="1"/>
  <c r="O6" i="1441" s="1"/>
  <c r="B27" i="1441"/>
  <c r="B28" i="1441"/>
  <c r="B29" i="1441"/>
  <c r="C30" i="1442"/>
  <c r="E30" i="1442"/>
  <c r="E32" i="1442" s="1"/>
  <c r="O5" i="1442"/>
  <c r="O6" i="1442" s="1"/>
  <c r="D32" i="1442"/>
  <c r="C27" i="1441"/>
  <c r="C28" i="1441"/>
  <c r="C29" i="1441"/>
  <c r="E27" i="1441"/>
  <c r="E28" i="1441"/>
  <c r="C30" i="1441" l="1"/>
  <c r="B30" i="1441"/>
  <c r="E30" i="1441"/>
  <c r="L3" i="1442"/>
  <c r="L4" i="1442" s="1"/>
  <c r="O8" i="1442" s="1"/>
  <c r="O11" i="1442" s="1"/>
  <c r="O14" i="1442" s="1"/>
  <c r="O15" i="1442" s="1"/>
  <c r="O16" i="1442" s="1"/>
  <c r="O17" i="1442" s="1"/>
  <c r="O18" i="1442" s="1"/>
  <c r="O19" i="1442" s="1"/>
  <c r="O20" i="1442" s="1"/>
  <c r="O21" i="1442" s="1"/>
  <c r="O22" i="1442" s="1"/>
  <c r="O23" i="1442" s="1"/>
  <c r="O24" i="1442" s="1"/>
  <c r="O25" i="1442" s="1"/>
  <c r="O26" i="1442" s="1"/>
  <c r="O27" i="1442" s="1"/>
  <c r="O28" i="1442" s="1"/>
  <c r="O29" i="1442" s="1"/>
  <c r="O30" i="1442" s="1"/>
  <c r="O31" i="1442" s="1"/>
  <c r="O32" i="1442" s="1"/>
  <c r="O33" i="1442" s="1"/>
  <c r="O34" i="1442" s="1"/>
  <c r="O35" i="1442" s="1"/>
  <c r="O36" i="1442" s="1"/>
  <c r="O37" i="1442" s="1"/>
  <c r="O38" i="1442" s="1"/>
  <c r="C32" i="1442"/>
  <c r="L3" i="1441" l="1"/>
  <c r="L4" i="1441" s="1"/>
  <c r="O8" i="1441" s="1"/>
  <c r="O11" i="1441" s="1"/>
  <c r="O14" i="1441" s="1"/>
  <c r="O15" i="1441" s="1"/>
  <c r="O16" i="1441" s="1"/>
  <c r="O17" i="1441" s="1"/>
  <c r="O18" i="1441" s="1"/>
  <c r="O19" i="1441" s="1"/>
  <c r="O20" i="1441" s="1"/>
  <c r="O21" i="1441" s="1"/>
  <c r="O22" i="1441" s="1"/>
  <c r="O23" i="1441" s="1"/>
  <c r="O24" i="1441" s="1"/>
  <c r="O25" i="1441" s="1"/>
  <c r="O26" i="1441" s="1"/>
  <c r="O27" i="1441" s="1"/>
  <c r="O28" i="1441" s="1"/>
  <c r="O29" i="1441" s="1"/>
  <c r="O30" i="1441" s="1"/>
  <c r="O31" i="1441" s="1"/>
  <c r="O32" i="1441" s="1"/>
  <c r="O33" i="1441" s="1"/>
  <c r="O34" i="1441" s="1"/>
  <c r="O35" i="1441" s="1"/>
  <c r="O36" i="1441" s="1"/>
  <c r="O37" i="1441" s="1"/>
  <c r="O38" i="1441" s="1"/>
  <c r="E31" i="1441"/>
  <c r="E32" i="1441" s="1"/>
  <c r="C31" i="1441"/>
  <c r="C32" i="1441" s="1"/>
  <c r="B24" i="1071" l="1"/>
  <c r="F24" i="1071" s="1"/>
  <c r="H30" i="1071"/>
  <c r="G30" i="1071"/>
  <c r="F23" i="1071"/>
  <c r="E23" i="1071"/>
  <c r="D23" i="1071"/>
  <c r="C23" i="1071"/>
  <c r="F22" i="1071"/>
  <c r="E22" i="1071"/>
  <c r="D22" i="1071"/>
  <c r="C22" i="1071"/>
  <c r="F21" i="1071"/>
  <c r="E21" i="1071"/>
  <c r="D21" i="1071"/>
  <c r="C21" i="1071"/>
  <c r="F20" i="1071"/>
  <c r="E20" i="1071"/>
  <c r="D20" i="1071"/>
  <c r="C20" i="1071"/>
  <c r="F19" i="1071"/>
  <c r="E19" i="1071"/>
  <c r="D19" i="1071"/>
  <c r="C19" i="1071"/>
  <c r="F18" i="1071"/>
  <c r="E18" i="1071"/>
  <c r="D18" i="1071"/>
  <c r="C18" i="1071"/>
  <c r="F17" i="1071"/>
  <c r="E17" i="1071"/>
  <c r="D17" i="1071"/>
  <c r="C17" i="1071"/>
  <c r="F16" i="1071"/>
  <c r="E16" i="1071"/>
  <c r="D16" i="1071"/>
  <c r="C16" i="1071"/>
  <c r="L15" i="1071"/>
  <c r="F15" i="1071"/>
  <c r="E15" i="1071"/>
  <c r="D15" i="1071"/>
  <c r="C15" i="1071"/>
  <c r="L14" i="1071"/>
  <c r="F14" i="1071"/>
  <c r="E14" i="1071"/>
  <c r="D14" i="1071"/>
  <c r="C14" i="1071"/>
  <c r="F13" i="1071"/>
  <c r="E13" i="1071"/>
  <c r="D13" i="1071"/>
  <c r="C13" i="1071"/>
  <c r="F12" i="1071"/>
  <c r="E12" i="1071"/>
  <c r="D12" i="1071"/>
  <c r="C12" i="1071"/>
  <c r="F11" i="1071"/>
  <c r="E11" i="1071"/>
  <c r="D11" i="1071"/>
  <c r="C11" i="1071"/>
  <c r="F10" i="1071"/>
  <c r="E10" i="1071"/>
  <c r="D10" i="1071"/>
  <c r="C10" i="1071"/>
  <c r="N9" i="1071"/>
  <c r="M9" i="1071"/>
  <c r="L9" i="1071"/>
  <c r="F9" i="1071"/>
  <c r="E9" i="1071"/>
  <c r="D9" i="1071"/>
  <c r="C9" i="1071"/>
  <c r="N8" i="1071"/>
  <c r="M8" i="1071"/>
  <c r="L8" i="1071"/>
  <c r="F8" i="1071"/>
  <c r="E8" i="1071"/>
  <c r="D8" i="1071"/>
  <c r="C8" i="1071"/>
  <c r="N7" i="1071"/>
  <c r="M7" i="1071"/>
  <c r="L7" i="1071"/>
  <c r="F7" i="1071"/>
  <c r="E7" i="1071"/>
  <c r="D7" i="1071"/>
  <c r="C7" i="1071"/>
  <c r="N6" i="1071"/>
  <c r="M6" i="1071"/>
  <c r="L6" i="1071"/>
  <c r="F6" i="1071"/>
  <c r="E6" i="1071"/>
  <c r="D6" i="1071"/>
  <c r="C6" i="1071"/>
  <c r="J4" i="1071"/>
  <c r="J5" i="1071" s="1"/>
  <c r="B26" i="1071" s="1"/>
  <c r="E26" i="1071" s="1"/>
  <c r="C24" i="1071" l="1"/>
  <c r="D24" i="1071"/>
  <c r="E24" i="1071"/>
  <c r="D26" i="1071"/>
  <c r="C26" i="1071"/>
  <c r="F26" i="1071"/>
  <c r="B29" i="1071"/>
  <c r="B27" i="1071"/>
  <c r="B25" i="1071"/>
  <c r="B28" i="1071"/>
  <c r="D29" i="1071" l="1"/>
  <c r="C29" i="1071"/>
  <c r="E29" i="1071"/>
  <c r="F29" i="1071"/>
  <c r="D25" i="1071"/>
  <c r="C25" i="1071"/>
  <c r="E25" i="1071"/>
  <c r="F25" i="1071"/>
  <c r="D28" i="1071"/>
  <c r="C28" i="1071"/>
  <c r="F28" i="1071"/>
  <c r="E28" i="1071"/>
  <c r="D27" i="1071"/>
  <c r="C27" i="1071"/>
  <c r="E27" i="1071"/>
  <c r="F27" i="1071"/>
  <c r="B30" i="1071"/>
  <c r="D30" i="1071" l="1"/>
  <c r="S5" i="1071" s="1"/>
  <c r="S6" i="1071" s="1"/>
  <c r="F30" i="1071"/>
  <c r="E30" i="1071"/>
  <c r="C30" i="1071"/>
  <c r="F31" i="1071"/>
  <c r="E31" i="1071"/>
  <c r="D31" i="1071"/>
  <c r="C31" i="1071"/>
  <c r="D32" i="1071" l="1"/>
  <c r="E32" i="1071"/>
  <c r="F32" i="1071"/>
  <c r="C32" i="1071"/>
  <c r="P3" i="1071"/>
  <c r="P4" i="1071" s="1"/>
  <c r="S8" i="1071" s="1"/>
  <c r="S11" i="1071" s="1"/>
  <c r="S14" i="1071" s="1"/>
  <c r="S15" i="1071" s="1"/>
  <c r="S16" i="1071" s="1"/>
  <c r="S17" i="1071" s="1"/>
  <c r="S18" i="1071" s="1"/>
  <c r="S19" i="1071" s="1"/>
  <c r="S20" i="1071" s="1"/>
  <c r="S21" i="1071" s="1"/>
  <c r="S22" i="1071" s="1"/>
  <c r="S23" i="1071" s="1"/>
  <c r="S24" i="1071" s="1"/>
  <c r="S25" i="1071" s="1"/>
  <c r="S26" i="1071" s="1"/>
  <c r="S27" i="1071" s="1"/>
  <c r="S28" i="1071" s="1"/>
  <c r="S29" i="1071" s="1"/>
  <c r="S30" i="1071" s="1"/>
  <c r="S31" i="1071" s="1"/>
  <c r="S32" i="1071" s="1"/>
  <c r="S33" i="1071" s="1"/>
  <c r="S34" i="1071" s="1"/>
  <c r="S35" i="1071" s="1"/>
  <c r="S36" i="1071" s="1"/>
  <c r="S37" i="1071" s="1"/>
  <c r="S38" i="1071" s="1"/>
  <c r="F25" i="1055" l="1"/>
  <c r="E25" i="1055"/>
  <c r="D25" i="1055"/>
  <c r="C25" i="1055"/>
  <c r="F24" i="1055"/>
  <c r="E24" i="1055"/>
  <c r="D24" i="1055"/>
  <c r="C24" i="1055"/>
  <c r="J4" i="1055"/>
  <c r="J5" i="1055" s="1"/>
  <c r="H30" i="1055"/>
  <c r="G30" i="1055"/>
  <c r="F23" i="1055"/>
  <c r="E23" i="1055"/>
  <c r="D23" i="1055"/>
  <c r="C23" i="1055"/>
  <c r="F22" i="1055"/>
  <c r="E22" i="1055"/>
  <c r="D22" i="1055"/>
  <c r="C22" i="1055"/>
  <c r="F21" i="1055"/>
  <c r="E21" i="1055"/>
  <c r="D21" i="1055"/>
  <c r="C21" i="1055"/>
  <c r="F20" i="1055"/>
  <c r="E20" i="1055"/>
  <c r="D20" i="1055"/>
  <c r="C20" i="1055"/>
  <c r="F19" i="1055"/>
  <c r="E19" i="1055"/>
  <c r="D19" i="1055"/>
  <c r="C19" i="1055"/>
  <c r="F18" i="1055"/>
  <c r="E18" i="1055"/>
  <c r="D18" i="1055"/>
  <c r="C18" i="1055"/>
  <c r="F17" i="1055"/>
  <c r="E17" i="1055"/>
  <c r="D17" i="1055"/>
  <c r="C17" i="1055"/>
  <c r="F16" i="1055"/>
  <c r="E16" i="1055"/>
  <c r="D16" i="1055"/>
  <c r="C16" i="1055"/>
  <c r="F15" i="1055"/>
  <c r="E15" i="1055"/>
  <c r="D15" i="1055"/>
  <c r="C15" i="1055"/>
  <c r="F14" i="1055"/>
  <c r="E14" i="1055"/>
  <c r="D14" i="1055"/>
  <c r="C14" i="1055"/>
  <c r="F13" i="1055"/>
  <c r="E13" i="1055"/>
  <c r="D13" i="1055"/>
  <c r="C13" i="1055"/>
  <c r="F12" i="1055"/>
  <c r="E12" i="1055"/>
  <c r="D12" i="1055"/>
  <c r="C12" i="1055"/>
  <c r="F11" i="1055"/>
  <c r="E11" i="1055"/>
  <c r="D11" i="1055"/>
  <c r="C11" i="1055"/>
  <c r="F10" i="1055"/>
  <c r="E10" i="1055"/>
  <c r="D10" i="1055"/>
  <c r="C10" i="1055"/>
  <c r="F9" i="1055"/>
  <c r="E9" i="1055"/>
  <c r="D9" i="1055"/>
  <c r="C9" i="1055"/>
  <c r="F8" i="1055"/>
  <c r="E8" i="1055"/>
  <c r="D8" i="1055"/>
  <c r="C8" i="1055"/>
  <c r="F7" i="1055"/>
  <c r="E7" i="1055"/>
  <c r="D7" i="1055"/>
  <c r="C7" i="1055"/>
  <c r="F6" i="1055"/>
  <c r="E6" i="1055"/>
  <c r="D6" i="1055"/>
  <c r="C6" i="1055"/>
  <c r="F25" i="1047"/>
  <c r="E25" i="1047"/>
  <c r="D25" i="1047"/>
  <c r="C25" i="1047"/>
  <c r="F24" i="1047"/>
  <c r="E24" i="1047"/>
  <c r="D24" i="1047"/>
  <c r="C24" i="1047"/>
  <c r="H30" i="1047"/>
  <c r="G30" i="1047"/>
  <c r="F23" i="1047"/>
  <c r="E23" i="1047"/>
  <c r="D23" i="1047"/>
  <c r="C23" i="1047"/>
  <c r="F22" i="1047"/>
  <c r="E22" i="1047"/>
  <c r="D22" i="1047"/>
  <c r="C22" i="1047"/>
  <c r="F21" i="1047"/>
  <c r="E21" i="1047"/>
  <c r="D21" i="1047"/>
  <c r="C21" i="1047"/>
  <c r="F20" i="1047"/>
  <c r="E20" i="1047"/>
  <c r="D20" i="1047"/>
  <c r="C20" i="1047"/>
  <c r="F19" i="1047"/>
  <c r="E19" i="1047"/>
  <c r="D19" i="1047"/>
  <c r="C19" i="1047"/>
  <c r="F18" i="1047"/>
  <c r="E18" i="1047"/>
  <c r="D18" i="1047"/>
  <c r="C18" i="1047"/>
  <c r="F17" i="1047"/>
  <c r="E17" i="1047"/>
  <c r="D17" i="1047"/>
  <c r="C17" i="1047"/>
  <c r="F16" i="1047"/>
  <c r="E16" i="1047"/>
  <c r="D16" i="1047"/>
  <c r="C16" i="1047"/>
  <c r="F15" i="1047"/>
  <c r="E15" i="1047"/>
  <c r="D15" i="1047"/>
  <c r="C15" i="1047"/>
  <c r="F14" i="1047"/>
  <c r="E14" i="1047"/>
  <c r="D14" i="1047"/>
  <c r="C14" i="1047"/>
  <c r="F13" i="1047"/>
  <c r="E13" i="1047"/>
  <c r="D13" i="1047"/>
  <c r="C13" i="1047"/>
  <c r="F12" i="1047"/>
  <c r="E12" i="1047"/>
  <c r="D12" i="1047"/>
  <c r="C12" i="1047"/>
  <c r="F11" i="1047"/>
  <c r="E11" i="1047"/>
  <c r="D11" i="1047"/>
  <c r="C11" i="1047"/>
  <c r="F10" i="1047"/>
  <c r="E10" i="1047"/>
  <c r="D10" i="1047"/>
  <c r="C10" i="1047"/>
  <c r="F9" i="1047"/>
  <c r="E9" i="1047"/>
  <c r="D9" i="1047"/>
  <c r="C9" i="1047"/>
  <c r="F8" i="1047"/>
  <c r="E8" i="1047"/>
  <c r="D8" i="1047"/>
  <c r="C8" i="1047"/>
  <c r="F7" i="1047"/>
  <c r="E7" i="1047"/>
  <c r="D7" i="1047"/>
  <c r="C7" i="1047"/>
  <c r="F6" i="1047"/>
  <c r="E6" i="1047"/>
  <c r="D6" i="1047"/>
  <c r="C6" i="1047"/>
  <c r="J4" i="1047"/>
  <c r="J5" i="1047" s="1"/>
  <c r="C36" i="1045"/>
  <c r="E25" i="1045"/>
  <c r="C25" i="1045"/>
  <c r="E24" i="1045"/>
  <c r="C24" i="1045"/>
  <c r="B24" i="1045"/>
  <c r="H30" i="1045"/>
  <c r="G30" i="1045"/>
  <c r="E23" i="1045"/>
  <c r="C23" i="1045"/>
  <c r="F22" i="1045"/>
  <c r="E22" i="1045"/>
  <c r="D22" i="1045"/>
  <c r="C22" i="1045"/>
  <c r="F21" i="1045"/>
  <c r="E21" i="1045"/>
  <c r="D21" i="1045"/>
  <c r="C21" i="1045"/>
  <c r="F20" i="1045"/>
  <c r="E20" i="1045"/>
  <c r="D20" i="1045"/>
  <c r="C20" i="1045"/>
  <c r="F19" i="1045"/>
  <c r="E19" i="1045"/>
  <c r="D19" i="1045"/>
  <c r="C19" i="1045"/>
  <c r="F18" i="1045"/>
  <c r="E18" i="1045"/>
  <c r="D18" i="1045"/>
  <c r="C18" i="1045"/>
  <c r="F17" i="1045"/>
  <c r="E17" i="1045"/>
  <c r="D17" i="1045"/>
  <c r="C17" i="1045"/>
  <c r="F16" i="1045"/>
  <c r="E16" i="1045"/>
  <c r="D16" i="1045"/>
  <c r="C16" i="1045"/>
  <c r="F15" i="1045"/>
  <c r="E15" i="1045"/>
  <c r="D15" i="1045"/>
  <c r="C15" i="1045"/>
  <c r="F14" i="1045"/>
  <c r="E14" i="1045"/>
  <c r="D14" i="1045"/>
  <c r="C14" i="1045"/>
  <c r="F13" i="1045"/>
  <c r="E13" i="1045"/>
  <c r="D13" i="1045"/>
  <c r="C13" i="1045"/>
  <c r="F12" i="1045"/>
  <c r="E12" i="1045"/>
  <c r="D12" i="1045"/>
  <c r="C12" i="1045"/>
  <c r="F11" i="1045"/>
  <c r="E11" i="1045"/>
  <c r="D11" i="1045"/>
  <c r="C11" i="1045"/>
  <c r="F10" i="1045"/>
  <c r="E10" i="1045"/>
  <c r="D10" i="1045"/>
  <c r="C10" i="1045"/>
  <c r="F9" i="1045"/>
  <c r="E9" i="1045"/>
  <c r="D9" i="1045"/>
  <c r="C9" i="1045"/>
  <c r="F8" i="1045"/>
  <c r="E8" i="1045"/>
  <c r="D8" i="1045"/>
  <c r="C8" i="1045"/>
  <c r="F7" i="1045"/>
  <c r="E7" i="1045"/>
  <c r="D7" i="1045"/>
  <c r="C7" i="1045"/>
  <c r="F6" i="1045"/>
  <c r="E6" i="1045"/>
  <c r="D6" i="1045"/>
  <c r="C6" i="1045"/>
  <c r="J4" i="1045"/>
  <c r="J5" i="1045" s="1"/>
  <c r="B29" i="1055" l="1"/>
  <c r="B27" i="1055"/>
  <c r="B28" i="1055"/>
  <c r="B28" i="1047"/>
  <c r="B29" i="1047"/>
  <c r="B27" i="1047"/>
  <c r="B28" i="1045"/>
  <c r="B29" i="1045"/>
  <c r="B27" i="1045"/>
  <c r="B30" i="1055" l="1"/>
  <c r="F31" i="1055" s="1"/>
  <c r="D28" i="1055"/>
  <c r="C28" i="1055"/>
  <c r="F28" i="1055"/>
  <c r="E28" i="1055"/>
  <c r="F27" i="1055"/>
  <c r="E27" i="1055"/>
  <c r="D27" i="1055"/>
  <c r="C27" i="1055"/>
  <c r="F29" i="1055"/>
  <c r="E29" i="1055"/>
  <c r="D29" i="1055"/>
  <c r="C29" i="1055"/>
  <c r="E29" i="1047"/>
  <c r="C29" i="1047"/>
  <c r="B30" i="1047"/>
  <c r="C31" i="1047" s="1"/>
  <c r="E31" i="1047" s="1"/>
  <c r="C28" i="1047"/>
  <c r="E28" i="1047"/>
  <c r="E27" i="1047"/>
  <c r="C27" i="1047"/>
  <c r="E27" i="1045"/>
  <c r="C27" i="1045"/>
  <c r="E29" i="1045"/>
  <c r="C29" i="1045"/>
  <c r="B30" i="1045"/>
  <c r="C31" i="1045" s="1"/>
  <c r="E31" i="1045" s="1"/>
  <c r="C28" i="1045"/>
  <c r="E28" i="1045"/>
  <c r="E30" i="1055" l="1"/>
  <c r="C30" i="1055"/>
  <c r="F30" i="1055"/>
  <c r="F32" i="1055" s="1"/>
  <c r="D31" i="1055"/>
  <c r="C31" i="1055"/>
  <c r="E31" i="1055" s="1"/>
  <c r="D30" i="1055"/>
  <c r="C30" i="1047"/>
  <c r="D30" i="1047"/>
  <c r="F30" i="1047"/>
  <c r="F32" i="1047" s="1"/>
  <c r="E30" i="1047"/>
  <c r="E32" i="1047" s="1"/>
  <c r="F30" i="1045"/>
  <c r="F32" i="1045" s="1"/>
  <c r="E30" i="1045"/>
  <c r="E32" i="1045" s="1"/>
  <c r="C30" i="1045"/>
  <c r="D30" i="1045"/>
  <c r="D32" i="1055" l="1"/>
  <c r="O5" i="1055"/>
  <c r="O6" i="1055" s="1"/>
  <c r="C32" i="1055"/>
  <c r="L3" i="1055"/>
  <c r="L4" i="1055" s="1"/>
  <c r="O8" i="1055" s="1"/>
  <c r="O11" i="1055" s="1"/>
  <c r="E32" i="1055"/>
  <c r="D32" i="1047"/>
  <c r="O5" i="1047"/>
  <c r="O6" i="1047" s="1"/>
  <c r="C32" i="1047"/>
  <c r="L3" i="1047"/>
  <c r="L4" i="1047" s="1"/>
  <c r="O8" i="1047" s="1"/>
  <c r="O11" i="1047" s="1"/>
  <c r="D32" i="1045"/>
  <c r="O5" i="1045"/>
  <c r="O6" i="1045" s="1"/>
  <c r="C32" i="1045"/>
  <c r="L3" i="1045"/>
  <c r="L4" i="1045" s="1"/>
  <c r="O8" i="1045" s="1"/>
  <c r="O11" i="1045" s="1"/>
  <c r="O14" i="1055" l="1"/>
  <c r="O15" i="1055" s="1"/>
  <c r="O16" i="1055" s="1"/>
  <c r="O17" i="1055" s="1"/>
  <c r="O18" i="1055" s="1"/>
  <c r="O19" i="1055" s="1"/>
  <c r="O20" i="1055" s="1"/>
  <c r="O21" i="1055" s="1"/>
  <c r="O22" i="1055" s="1"/>
  <c r="O23" i="1055" s="1"/>
  <c r="O24" i="1055" s="1"/>
  <c r="O25" i="1055" s="1"/>
  <c r="O26" i="1055" s="1"/>
  <c r="O27" i="1055" s="1"/>
  <c r="O28" i="1055" s="1"/>
  <c r="O29" i="1055" s="1"/>
  <c r="O30" i="1055" s="1"/>
  <c r="O31" i="1055" s="1"/>
  <c r="O32" i="1055" s="1"/>
  <c r="O33" i="1055" s="1"/>
  <c r="O34" i="1055" s="1"/>
  <c r="O35" i="1055" s="1"/>
  <c r="O36" i="1055" s="1"/>
  <c r="O37" i="1055" s="1"/>
  <c r="O38" i="1055" s="1"/>
  <c r="O14" i="1047"/>
  <c r="O15" i="1047" s="1"/>
  <c r="O16" i="1047" s="1"/>
  <c r="O17" i="1047" s="1"/>
  <c r="O18" i="1047" s="1"/>
  <c r="O19" i="1047" s="1"/>
  <c r="O20" i="1047" s="1"/>
  <c r="O21" i="1047" s="1"/>
  <c r="O22" i="1047" s="1"/>
  <c r="O23" i="1047" s="1"/>
  <c r="O24" i="1047" s="1"/>
  <c r="O25" i="1047" s="1"/>
  <c r="O26" i="1047" s="1"/>
  <c r="O27" i="1047" s="1"/>
  <c r="O28" i="1047" s="1"/>
  <c r="O29" i="1047" s="1"/>
  <c r="O30" i="1047" s="1"/>
  <c r="O31" i="1047" s="1"/>
  <c r="O32" i="1047" s="1"/>
  <c r="O33" i="1047" s="1"/>
  <c r="O34" i="1047" s="1"/>
  <c r="O35" i="1047" s="1"/>
  <c r="O36" i="1047" s="1"/>
  <c r="O37" i="1047" s="1"/>
  <c r="O38" i="1047" s="1"/>
  <c r="O14" i="1045"/>
  <c r="O15" i="1045" s="1"/>
  <c r="O16" i="1045" s="1"/>
  <c r="O17" i="1045" s="1"/>
  <c r="O18" i="1045" s="1"/>
  <c r="O19" i="1045" s="1"/>
  <c r="O20" i="1045" s="1"/>
  <c r="O21" i="1045" s="1"/>
  <c r="O22" i="1045" s="1"/>
  <c r="O23" i="1045" s="1"/>
  <c r="O24" i="1045" s="1"/>
  <c r="O25" i="1045" s="1"/>
  <c r="O26" i="1045" s="1"/>
  <c r="O27" i="1045" s="1"/>
  <c r="O28" i="1045" s="1"/>
  <c r="O29" i="1045" s="1"/>
  <c r="O30" i="1045" s="1"/>
  <c r="O31" i="1045" s="1"/>
  <c r="O32" i="1045" s="1"/>
  <c r="O33" i="1045" s="1"/>
  <c r="O34" i="1045" s="1"/>
  <c r="O35" i="1045" s="1"/>
  <c r="O36" i="1045" s="1"/>
  <c r="O37" i="1045" s="1"/>
  <c r="O38" i="1045" s="1"/>
  <c r="J4" i="1005" l="1"/>
  <c r="J5" i="1005" s="1"/>
  <c r="H30" i="1005"/>
  <c r="G30" i="1005"/>
  <c r="F23" i="1005"/>
  <c r="E23" i="1005"/>
  <c r="D23" i="1005"/>
  <c r="C23" i="1005"/>
  <c r="F22" i="1005"/>
  <c r="E22" i="1005"/>
  <c r="D22" i="1005"/>
  <c r="C22" i="1005"/>
  <c r="F21" i="1005"/>
  <c r="E21" i="1005"/>
  <c r="D21" i="1005"/>
  <c r="C21" i="1005"/>
  <c r="F20" i="1005"/>
  <c r="E20" i="1005"/>
  <c r="D20" i="1005"/>
  <c r="C20" i="1005"/>
  <c r="F19" i="1005"/>
  <c r="E19" i="1005"/>
  <c r="D19" i="1005"/>
  <c r="C19" i="1005"/>
  <c r="F18" i="1005"/>
  <c r="E18" i="1005"/>
  <c r="D18" i="1005"/>
  <c r="C18" i="1005"/>
  <c r="F17" i="1005"/>
  <c r="E17" i="1005"/>
  <c r="D17" i="1005"/>
  <c r="C17" i="1005"/>
  <c r="F16" i="1005"/>
  <c r="E16" i="1005"/>
  <c r="D16" i="1005"/>
  <c r="C16" i="1005"/>
  <c r="F15" i="1005"/>
  <c r="E15" i="1005"/>
  <c r="D15" i="1005"/>
  <c r="C15" i="1005"/>
  <c r="F14" i="1005"/>
  <c r="E14" i="1005"/>
  <c r="D14" i="1005"/>
  <c r="C14" i="1005"/>
  <c r="F13" i="1005"/>
  <c r="E13" i="1005"/>
  <c r="D13" i="1005"/>
  <c r="C13" i="1005"/>
  <c r="F12" i="1005"/>
  <c r="E12" i="1005"/>
  <c r="D12" i="1005"/>
  <c r="C12" i="1005"/>
  <c r="F11" i="1005"/>
  <c r="E11" i="1005"/>
  <c r="D11" i="1005"/>
  <c r="C11" i="1005"/>
  <c r="F10" i="1005"/>
  <c r="E10" i="1005"/>
  <c r="D10" i="1005"/>
  <c r="C10" i="1005"/>
  <c r="F9" i="1005"/>
  <c r="E9" i="1005"/>
  <c r="D9" i="1005"/>
  <c r="C9" i="1005"/>
  <c r="F8" i="1005"/>
  <c r="E8" i="1005"/>
  <c r="D8" i="1005"/>
  <c r="C8" i="1005"/>
  <c r="F7" i="1005"/>
  <c r="E7" i="1005"/>
  <c r="D7" i="1005"/>
  <c r="C7" i="1005"/>
  <c r="F6" i="1005"/>
  <c r="E6" i="1005"/>
  <c r="D6" i="1005"/>
  <c r="C6" i="1005"/>
  <c r="B26" i="1005" l="1"/>
  <c r="B29" i="1005"/>
  <c r="B27" i="1005"/>
  <c r="B28" i="1005"/>
  <c r="B25" i="1005"/>
  <c r="E27" i="1005" l="1"/>
  <c r="F27" i="1005"/>
  <c r="D27" i="1005"/>
  <c r="E28" i="1005"/>
  <c r="D28" i="1005"/>
  <c r="F28" i="1005"/>
  <c r="C28" i="1005"/>
  <c r="C27" i="1005"/>
  <c r="C29" i="1005"/>
  <c r="F29" i="1005"/>
  <c r="E29" i="1005"/>
  <c r="D29" i="1005"/>
  <c r="B30" i="1005"/>
  <c r="E25" i="1005"/>
  <c r="C25" i="1005"/>
  <c r="E26" i="1005"/>
  <c r="D26" i="1005"/>
  <c r="C26" i="1005"/>
  <c r="J4" i="990"/>
  <c r="J5" i="990" s="1"/>
  <c r="H30" i="990"/>
  <c r="G30" i="990"/>
  <c r="F23" i="990"/>
  <c r="E23" i="990"/>
  <c r="D23" i="990"/>
  <c r="C23" i="990"/>
  <c r="F22" i="990"/>
  <c r="E22" i="990"/>
  <c r="D22" i="990"/>
  <c r="C22" i="990"/>
  <c r="F21" i="990"/>
  <c r="E21" i="990"/>
  <c r="D21" i="990"/>
  <c r="C21" i="990"/>
  <c r="F20" i="990"/>
  <c r="E20" i="990"/>
  <c r="D20" i="990"/>
  <c r="C20" i="990"/>
  <c r="F19" i="990"/>
  <c r="E19" i="990"/>
  <c r="D19" i="990"/>
  <c r="C19" i="990"/>
  <c r="F18" i="990"/>
  <c r="E18" i="990"/>
  <c r="D18" i="990"/>
  <c r="C18" i="990"/>
  <c r="F17" i="990"/>
  <c r="E17" i="990"/>
  <c r="D17" i="990"/>
  <c r="C17" i="990"/>
  <c r="F16" i="990"/>
  <c r="E16" i="990"/>
  <c r="D16" i="990"/>
  <c r="C16" i="990"/>
  <c r="F15" i="990"/>
  <c r="E15" i="990"/>
  <c r="D15" i="990"/>
  <c r="C15" i="990"/>
  <c r="F14" i="990"/>
  <c r="E14" i="990"/>
  <c r="D14" i="990"/>
  <c r="C14" i="990"/>
  <c r="F13" i="990"/>
  <c r="E13" i="990"/>
  <c r="D13" i="990"/>
  <c r="C13" i="990"/>
  <c r="F12" i="990"/>
  <c r="E12" i="990"/>
  <c r="D12" i="990"/>
  <c r="C12" i="990"/>
  <c r="F11" i="990"/>
  <c r="E11" i="990"/>
  <c r="D11" i="990"/>
  <c r="C11" i="990"/>
  <c r="F10" i="990"/>
  <c r="E10" i="990"/>
  <c r="D10" i="990"/>
  <c r="C10" i="990"/>
  <c r="F9" i="990"/>
  <c r="E9" i="990"/>
  <c r="D9" i="990"/>
  <c r="C9" i="990"/>
  <c r="F8" i="990"/>
  <c r="E8" i="990"/>
  <c r="D8" i="990"/>
  <c r="C8" i="990"/>
  <c r="F7" i="990"/>
  <c r="E7" i="990"/>
  <c r="D7" i="990"/>
  <c r="C7" i="990"/>
  <c r="F6" i="990"/>
  <c r="E6" i="990"/>
  <c r="D6" i="990"/>
  <c r="C6" i="990"/>
  <c r="J4" i="988"/>
  <c r="J5" i="988" s="1"/>
  <c r="B29" i="988" s="1"/>
  <c r="H30" i="988"/>
  <c r="G30" i="988"/>
  <c r="F23" i="988"/>
  <c r="E23" i="988"/>
  <c r="D23" i="988"/>
  <c r="C23" i="988"/>
  <c r="F22" i="988"/>
  <c r="E22" i="988"/>
  <c r="D22" i="988"/>
  <c r="C22" i="988"/>
  <c r="F21" i="988"/>
  <c r="E21" i="988"/>
  <c r="D21" i="988"/>
  <c r="C21" i="988"/>
  <c r="F20" i="988"/>
  <c r="E20" i="988"/>
  <c r="D20" i="988"/>
  <c r="C20" i="988"/>
  <c r="F19" i="988"/>
  <c r="E19" i="988"/>
  <c r="D19" i="988"/>
  <c r="C19" i="988"/>
  <c r="F18" i="988"/>
  <c r="E18" i="988"/>
  <c r="D18" i="988"/>
  <c r="C18" i="988"/>
  <c r="F17" i="988"/>
  <c r="E17" i="988"/>
  <c r="D17" i="988"/>
  <c r="C17" i="988"/>
  <c r="F16" i="988"/>
  <c r="E16" i="988"/>
  <c r="D16" i="988"/>
  <c r="C16" i="988"/>
  <c r="F15" i="988"/>
  <c r="E15" i="988"/>
  <c r="D15" i="988"/>
  <c r="C15" i="988"/>
  <c r="F14" i="988"/>
  <c r="E14" i="988"/>
  <c r="D14" i="988"/>
  <c r="C14" i="988"/>
  <c r="F13" i="988"/>
  <c r="E13" i="988"/>
  <c r="D13" i="988"/>
  <c r="C13" i="988"/>
  <c r="F12" i="988"/>
  <c r="E12" i="988"/>
  <c r="D12" i="988"/>
  <c r="C12" i="988"/>
  <c r="F11" i="988"/>
  <c r="E11" i="988"/>
  <c r="D11" i="988"/>
  <c r="C11" i="988"/>
  <c r="F10" i="988"/>
  <c r="E10" i="988"/>
  <c r="D10" i="988"/>
  <c r="C10" i="988"/>
  <c r="F9" i="988"/>
  <c r="E9" i="988"/>
  <c r="D9" i="988"/>
  <c r="C9" i="988"/>
  <c r="F8" i="988"/>
  <c r="E8" i="988"/>
  <c r="D8" i="988"/>
  <c r="C8" i="988"/>
  <c r="F7" i="988"/>
  <c r="E7" i="988"/>
  <c r="D7" i="988"/>
  <c r="C7" i="988"/>
  <c r="F6" i="988"/>
  <c r="E6" i="988"/>
  <c r="D6" i="988"/>
  <c r="C6" i="988"/>
  <c r="H30" i="987"/>
  <c r="G30" i="987"/>
  <c r="F23" i="987"/>
  <c r="E23" i="987"/>
  <c r="D23" i="987"/>
  <c r="C23" i="987"/>
  <c r="F22" i="987"/>
  <c r="E22" i="987"/>
  <c r="D22" i="987"/>
  <c r="C22" i="987"/>
  <c r="F21" i="987"/>
  <c r="E21" i="987"/>
  <c r="D21" i="987"/>
  <c r="C21" i="987"/>
  <c r="F20" i="987"/>
  <c r="E20" i="987"/>
  <c r="D20" i="987"/>
  <c r="C20" i="987"/>
  <c r="F19" i="987"/>
  <c r="E19" i="987"/>
  <c r="D19" i="987"/>
  <c r="C19" i="987"/>
  <c r="F18" i="987"/>
  <c r="E18" i="987"/>
  <c r="D18" i="987"/>
  <c r="C18" i="987"/>
  <c r="F17" i="987"/>
  <c r="E17" i="987"/>
  <c r="D17" i="987"/>
  <c r="C17" i="987"/>
  <c r="F16" i="987"/>
  <c r="E16" i="987"/>
  <c r="D16" i="987"/>
  <c r="C16" i="987"/>
  <c r="F15" i="987"/>
  <c r="E15" i="987"/>
  <c r="D15" i="987"/>
  <c r="C15" i="987"/>
  <c r="F14" i="987"/>
  <c r="E14" i="987"/>
  <c r="D14" i="987"/>
  <c r="C14" i="987"/>
  <c r="F13" i="987"/>
  <c r="E13" i="987"/>
  <c r="D13" i="987"/>
  <c r="C13" i="987"/>
  <c r="F12" i="987"/>
  <c r="E12" i="987"/>
  <c r="D12" i="987"/>
  <c r="C12" i="987"/>
  <c r="F11" i="987"/>
  <c r="E11" i="987"/>
  <c r="D11" i="987"/>
  <c r="C11" i="987"/>
  <c r="F10" i="987"/>
  <c r="E10" i="987"/>
  <c r="D10" i="987"/>
  <c r="C10" i="987"/>
  <c r="F9" i="987"/>
  <c r="E9" i="987"/>
  <c r="D9" i="987"/>
  <c r="C9" i="987"/>
  <c r="F8" i="987"/>
  <c r="E8" i="987"/>
  <c r="D8" i="987"/>
  <c r="C8" i="987"/>
  <c r="F7" i="987"/>
  <c r="E7" i="987"/>
  <c r="D7" i="987"/>
  <c r="C7" i="987"/>
  <c r="F6" i="987"/>
  <c r="E6" i="987"/>
  <c r="D6" i="987"/>
  <c r="C6" i="987"/>
  <c r="J4" i="987"/>
  <c r="J5" i="987" s="1"/>
  <c r="B25" i="987" s="1"/>
  <c r="F28" i="984"/>
  <c r="D28" i="984"/>
  <c r="F27" i="984"/>
  <c r="E27" i="984"/>
  <c r="D27" i="984"/>
  <c r="F29" i="984"/>
  <c r="E29" i="984"/>
  <c r="D29" i="984"/>
  <c r="E28" i="984"/>
  <c r="F26" i="984"/>
  <c r="E26" i="984"/>
  <c r="D26" i="984"/>
  <c r="J5" i="984"/>
  <c r="J3" i="984"/>
  <c r="H30" i="984"/>
  <c r="G30" i="984"/>
  <c r="F23" i="984"/>
  <c r="E23" i="984"/>
  <c r="D23" i="984"/>
  <c r="C23" i="984"/>
  <c r="F22" i="984"/>
  <c r="E22" i="984"/>
  <c r="D22" i="984"/>
  <c r="C22" i="984"/>
  <c r="F21" i="984"/>
  <c r="E21" i="984"/>
  <c r="D21" i="984"/>
  <c r="C21" i="984"/>
  <c r="F20" i="984"/>
  <c r="E20" i="984"/>
  <c r="D20" i="984"/>
  <c r="C20" i="984"/>
  <c r="F19" i="984"/>
  <c r="E19" i="984"/>
  <c r="D19" i="984"/>
  <c r="C19" i="984"/>
  <c r="F18" i="984"/>
  <c r="E18" i="984"/>
  <c r="D18" i="984"/>
  <c r="C18" i="984"/>
  <c r="F17" i="984"/>
  <c r="E17" i="984"/>
  <c r="D17" i="984"/>
  <c r="C17" i="984"/>
  <c r="F16" i="984"/>
  <c r="E16" i="984"/>
  <c r="D16" i="984"/>
  <c r="C16" i="984"/>
  <c r="F15" i="984"/>
  <c r="E15" i="984"/>
  <c r="D15" i="984"/>
  <c r="C15" i="984"/>
  <c r="F14" i="984"/>
  <c r="E14" i="984"/>
  <c r="D14" i="984"/>
  <c r="C14" i="984"/>
  <c r="F13" i="984"/>
  <c r="E13" i="984"/>
  <c r="D13" i="984"/>
  <c r="C13" i="984"/>
  <c r="F11" i="984"/>
  <c r="E11" i="984"/>
  <c r="D11" i="984"/>
  <c r="C11" i="984"/>
  <c r="F10" i="984"/>
  <c r="E10" i="984"/>
  <c r="D10" i="984"/>
  <c r="C10" i="984"/>
  <c r="F9" i="984"/>
  <c r="E9" i="984"/>
  <c r="D9" i="984"/>
  <c r="C9" i="984"/>
  <c r="F8" i="984"/>
  <c r="E8" i="984"/>
  <c r="D8" i="984"/>
  <c r="C8" i="984"/>
  <c r="F7" i="984"/>
  <c r="E7" i="984"/>
  <c r="D7" i="984"/>
  <c r="C7" i="984"/>
  <c r="F6" i="984"/>
  <c r="E6" i="984"/>
  <c r="D6" i="984"/>
  <c r="C6" i="984"/>
  <c r="F30" i="1005" l="1"/>
  <c r="C30" i="1005"/>
  <c r="D30" i="1005"/>
  <c r="D31" i="1005"/>
  <c r="F31" i="1005" s="1"/>
  <c r="C31" i="1005"/>
  <c r="E31" i="1005" s="1"/>
  <c r="E30" i="1005"/>
  <c r="B29" i="990"/>
  <c r="B27" i="990"/>
  <c r="B25" i="990"/>
  <c r="B28" i="990"/>
  <c r="B26" i="990"/>
  <c r="C29" i="988"/>
  <c r="F29" i="988"/>
  <c r="E29" i="988"/>
  <c r="D29" i="988"/>
  <c r="B26" i="988"/>
  <c r="B28" i="988"/>
  <c r="B25" i="988"/>
  <c r="B27" i="988"/>
  <c r="E25" i="987"/>
  <c r="D25" i="987"/>
  <c r="C25" i="987"/>
  <c r="F25" i="987"/>
  <c r="B28" i="987"/>
  <c r="B26" i="987"/>
  <c r="B27" i="987"/>
  <c r="B29" i="987"/>
  <c r="C28" i="984"/>
  <c r="F32" i="1005" l="1"/>
  <c r="C32" i="1005"/>
  <c r="E32" i="1005"/>
  <c r="D32" i="1005"/>
  <c r="O5" i="1005"/>
  <c r="O6" i="1005" s="1"/>
  <c r="L3" i="1005"/>
  <c r="L4" i="1005" s="1"/>
  <c r="O8" i="1005" s="1"/>
  <c r="O11" i="1005" s="1"/>
  <c r="F27" i="990"/>
  <c r="D27" i="990"/>
  <c r="E26" i="990"/>
  <c r="D26" i="990"/>
  <c r="C26" i="990"/>
  <c r="F26" i="990"/>
  <c r="E28" i="990"/>
  <c r="D28" i="990"/>
  <c r="C28" i="990"/>
  <c r="F28" i="990"/>
  <c r="C27" i="990"/>
  <c r="E27" i="990"/>
  <c r="C29" i="990"/>
  <c r="F29" i="990"/>
  <c r="E29" i="990"/>
  <c r="D29" i="990"/>
  <c r="C25" i="990"/>
  <c r="E25" i="990"/>
  <c r="B30" i="990"/>
  <c r="F27" i="988"/>
  <c r="D27" i="988"/>
  <c r="B30" i="987"/>
  <c r="C31" i="987" s="1"/>
  <c r="E31" i="987" s="1"/>
  <c r="C25" i="988"/>
  <c r="E25" i="988"/>
  <c r="B30" i="988"/>
  <c r="E28" i="988"/>
  <c r="D28" i="988"/>
  <c r="C28" i="988"/>
  <c r="F28" i="988"/>
  <c r="C27" i="988"/>
  <c r="E27" i="988"/>
  <c r="E26" i="988"/>
  <c r="D26" i="988"/>
  <c r="C26" i="988"/>
  <c r="F26" i="988"/>
  <c r="C27" i="987"/>
  <c r="D27" i="987"/>
  <c r="F27" i="987"/>
  <c r="E27" i="987"/>
  <c r="C26" i="987"/>
  <c r="E26" i="987"/>
  <c r="C29" i="987"/>
  <c r="F29" i="987"/>
  <c r="D29" i="987"/>
  <c r="E29" i="987"/>
  <c r="E28" i="987"/>
  <c r="D28" i="987"/>
  <c r="F28" i="987"/>
  <c r="C28" i="987"/>
  <c r="C26" i="984"/>
  <c r="B30" i="984"/>
  <c r="E25" i="984"/>
  <c r="C25" i="984"/>
  <c r="C29" i="984"/>
  <c r="C27" i="984"/>
  <c r="O14" i="1005" l="1"/>
  <c r="O15" i="1005" s="1"/>
  <c r="O16" i="1005" s="1"/>
  <c r="O17" i="1005" s="1"/>
  <c r="O18" i="1005" s="1"/>
  <c r="O19" i="1005" s="1"/>
  <c r="O20" i="1005" s="1"/>
  <c r="O21" i="1005" s="1"/>
  <c r="O22" i="1005" s="1"/>
  <c r="O23" i="1005" s="1"/>
  <c r="O24" i="1005" s="1"/>
  <c r="O25" i="1005" s="1"/>
  <c r="O26" i="1005" s="1"/>
  <c r="O27" i="1005" s="1"/>
  <c r="O28" i="1005" s="1"/>
  <c r="O29" i="1005" s="1"/>
  <c r="O30" i="1005" s="1"/>
  <c r="O31" i="1005" s="1"/>
  <c r="O32" i="1005" s="1"/>
  <c r="O33" i="1005" s="1"/>
  <c r="O34" i="1005" s="1"/>
  <c r="O35" i="1005" s="1"/>
  <c r="O36" i="1005" s="1"/>
  <c r="O37" i="1005" s="1"/>
  <c r="O38" i="1005" s="1"/>
  <c r="C30" i="990"/>
  <c r="F30" i="988"/>
  <c r="F30" i="990"/>
  <c r="D30" i="990"/>
  <c r="D31" i="990"/>
  <c r="F31" i="990" s="1"/>
  <c r="C31" i="990"/>
  <c r="E31" i="990" s="1"/>
  <c r="E30" i="990"/>
  <c r="D31" i="987"/>
  <c r="F31" i="987" s="1"/>
  <c r="D30" i="988"/>
  <c r="C30" i="988"/>
  <c r="D31" i="988"/>
  <c r="F31" i="988" s="1"/>
  <c r="C31" i="988"/>
  <c r="E31" i="988" s="1"/>
  <c r="C30" i="987"/>
  <c r="C32" i="987" s="1"/>
  <c r="E30" i="988"/>
  <c r="D30" i="987"/>
  <c r="E30" i="987"/>
  <c r="E32" i="987" s="1"/>
  <c r="F30" i="987"/>
  <c r="F30" i="984"/>
  <c r="C30" i="984"/>
  <c r="E30" i="984"/>
  <c r="D30" i="984"/>
  <c r="C31" i="984"/>
  <c r="E31" i="984" s="1"/>
  <c r="D31" i="984"/>
  <c r="F31" i="984" s="1"/>
  <c r="K4" i="980"/>
  <c r="K5" i="980" s="1"/>
  <c r="J5" i="980"/>
  <c r="J3" i="980"/>
  <c r="H30" i="980"/>
  <c r="G30" i="980"/>
  <c r="F23" i="980"/>
  <c r="E23" i="980"/>
  <c r="D23" i="980"/>
  <c r="C23" i="980"/>
  <c r="F22" i="980"/>
  <c r="E22" i="980"/>
  <c r="D22" i="980"/>
  <c r="C22" i="980"/>
  <c r="F21" i="980"/>
  <c r="E21" i="980"/>
  <c r="D21" i="980"/>
  <c r="C21" i="980"/>
  <c r="F20" i="980"/>
  <c r="E20" i="980"/>
  <c r="D20" i="980"/>
  <c r="C20" i="980"/>
  <c r="F19" i="980"/>
  <c r="E19" i="980"/>
  <c r="D19" i="980"/>
  <c r="C19" i="980"/>
  <c r="F18" i="980"/>
  <c r="E18" i="980"/>
  <c r="D18" i="980"/>
  <c r="C18" i="980"/>
  <c r="F17" i="980"/>
  <c r="E17" i="980"/>
  <c r="D17" i="980"/>
  <c r="C17" i="980"/>
  <c r="F16" i="980"/>
  <c r="E16" i="980"/>
  <c r="D16" i="980"/>
  <c r="C16" i="980"/>
  <c r="F15" i="980"/>
  <c r="E15" i="980"/>
  <c r="D15" i="980"/>
  <c r="C15" i="980"/>
  <c r="F14" i="980"/>
  <c r="E14" i="980"/>
  <c r="D14" i="980"/>
  <c r="C14" i="980"/>
  <c r="F13" i="980"/>
  <c r="E13" i="980"/>
  <c r="D13" i="980"/>
  <c r="C13" i="980"/>
  <c r="F12" i="980"/>
  <c r="E12" i="980"/>
  <c r="D12" i="980"/>
  <c r="C12" i="980"/>
  <c r="F11" i="980"/>
  <c r="E11" i="980"/>
  <c r="D11" i="980"/>
  <c r="C11" i="980"/>
  <c r="F10" i="980"/>
  <c r="E10" i="980"/>
  <c r="D10" i="980"/>
  <c r="C10" i="980"/>
  <c r="F9" i="980"/>
  <c r="E9" i="980"/>
  <c r="D9" i="980"/>
  <c r="C9" i="980"/>
  <c r="F8" i="980"/>
  <c r="E8" i="980"/>
  <c r="D8" i="980"/>
  <c r="C8" i="980"/>
  <c r="F7" i="980"/>
  <c r="E7" i="980"/>
  <c r="D7" i="980"/>
  <c r="C7" i="980"/>
  <c r="F6" i="980"/>
  <c r="E6" i="980"/>
  <c r="D6" i="980"/>
  <c r="C6" i="980"/>
  <c r="J4" i="974"/>
  <c r="J5" i="974" s="1"/>
  <c r="H30" i="974"/>
  <c r="G30" i="974"/>
  <c r="F23" i="974"/>
  <c r="E23" i="974"/>
  <c r="D23" i="974"/>
  <c r="C23" i="974"/>
  <c r="F22" i="974"/>
  <c r="E22" i="974"/>
  <c r="D22" i="974"/>
  <c r="C22" i="974"/>
  <c r="F21" i="974"/>
  <c r="E21" i="974"/>
  <c r="D21" i="974"/>
  <c r="C21" i="974"/>
  <c r="F20" i="974"/>
  <c r="E20" i="974"/>
  <c r="D20" i="974"/>
  <c r="C20" i="974"/>
  <c r="F19" i="974"/>
  <c r="E19" i="974"/>
  <c r="D19" i="974"/>
  <c r="C19" i="974"/>
  <c r="F18" i="974"/>
  <c r="E18" i="974"/>
  <c r="D18" i="974"/>
  <c r="C18" i="974"/>
  <c r="F17" i="974"/>
  <c r="E17" i="974"/>
  <c r="D17" i="974"/>
  <c r="C17" i="974"/>
  <c r="F16" i="974"/>
  <c r="E16" i="974"/>
  <c r="D16" i="974"/>
  <c r="C16" i="974"/>
  <c r="F15" i="974"/>
  <c r="E15" i="974"/>
  <c r="D15" i="974"/>
  <c r="C15" i="974"/>
  <c r="F14" i="974"/>
  <c r="E14" i="974"/>
  <c r="D14" i="974"/>
  <c r="C14" i="974"/>
  <c r="F13" i="974"/>
  <c r="E13" i="974"/>
  <c r="D13" i="974"/>
  <c r="C13" i="974"/>
  <c r="F12" i="974"/>
  <c r="E12" i="974"/>
  <c r="D12" i="974"/>
  <c r="C12" i="974"/>
  <c r="F11" i="974"/>
  <c r="E11" i="974"/>
  <c r="D11" i="974"/>
  <c r="C11" i="974"/>
  <c r="F10" i="974"/>
  <c r="E10" i="974"/>
  <c r="D10" i="974"/>
  <c r="C10" i="974"/>
  <c r="F9" i="974"/>
  <c r="E9" i="974"/>
  <c r="D9" i="974"/>
  <c r="C9" i="974"/>
  <c r="F8" i="974"/>
  <c r="E8" i="974"/>
  <c r="D8" i="974"/>
  <c r="C8" i="974"/>
  <c r="F7" i="974"/>
  <c r="E7" i="974"/>
  <c r="D7" i="974"/>
  <c r="C7" i="974"/>
  <c r="F6" i="974"/>
  <c r="E6" i="974"/>
  <c r="D6" i="974"/>
  <c r="C6" i="974"/>
  <c r="J4" i="969"/>
  <c r="J5" i="969" s="1"/>
  <c r="B26" i="969" s="1"/>
  <c r="H30" i="969"/>
  <c r="G30" i="969"/>
  <c r="F23" i="969"/>
  <c r="E23" i="969"/>
  <c r="D23" i="969"/>
  <c r="C23" i="969"/>
  <c r="F22" i="969"/>
  <c r="E22" i="969"/>
  <c r="D22" i="969"/>
  <c r="C22" i="969"/>
  <c r="F21" i="969"/>
  <c r="E21" i="969"/>
  <c r="D21" i="969"/>
  <c r="C21" i="969"/>
  <c r="F20" i="969"/>
  <c r="E20" i="969"/>
  <c r="D20" i="969"/>
  <c r="C20" i="969"/>
  <c r="F19" i="969"/>
  <c r="E19" i="969"/>
  <c r="D19" i="969"/>
  <c r="C19" i="969"/>
  <c r="F18" i="969"/>
  <c r="E18" i="969"/>
  <c r="D18" i="969"/>
  <c r="C18" i="969"/>
  <c r="F17" i="969"/>
  <c r="E17" i="969"/>
  <c r="D17" i="969"/>
  <c r="C17" i="969"/>
  <c r="F16" i="969"/>
  <c r="E16" i="969"/>
  <c r="D16" i="969"/>
  <c r="C16" i="969"/>
  <c r="L15" i="969"/>
  <c r="F15" i="969"/>
  <c r="E15" i="969"/>
  <c r="D15" i="969"/>
  <c r="C15" i="969"/>
  <c r="L14" i="969"/>
  <c r="F14" i="969"/>
  <c r="E14" i="969"/>
  <c r="D14" i="969"/>
  <c r="C14" i="969"/>
  <c r="F13" i="969"/>
  <c r="E13" i="969"/>
  <c r="D13" i="969"/>
  <c r="C13" i="969"/>
  <c r="F12" i="969"/>
  <c r="E12" i="969"/>
  <c r="D12" i="969"/>
  <c r="C12" i="969"/>
  <c r="F11" i="969"/>
  <c r="E11" i="969"/>
  <c r="D11" i="969"/>
  <c r="C11" i="969"/>
  <c r="F10" i="969"/>
  <c r="E10" i="969"/>
  <c r="D10" i="969"/>
  <c r="C10" i="969"/>
  <c r="N9" i="969"/>
  <c r="M9" i="969"/>
  <c r="L9" i="969"/>
  <c r="F9" i="969"/>
  <c r="E9" i="969"/>
  <c r="D9" i="969"/>
  <c r="C9" i="969"/>
  <c r="N8" i="969"/>
  <c r="M8" i="969"/>
  <c r="L8" i="969"/>
  <c r="F8" i="969"/>
  <c r="E8" i="969"/>
  <c r="D8" i="969"/>
  <c r="C8" i="969"/>
  <c r="N7" i="969"/>
  <c r="M7" i="969"/>
  <c r="L7" i="969"/>
  <c r="F7" i="969"/>
  <c r="E7" i="969"/>
  <c r="D7" i="969"/>
  <c r="C7" i="969"/>
  <c r="N6" i="969"/>
  <c r="M6" i="969"/>
  <c r="L6" i="969"/>
  <c r="F6" i="969"/>
  <c r="E6" i="969"/>
  <c r="D6" i="969"/>
  <c r="C6" i="969"/>
  <c r="F32" i="990" l="1"/>
  <c r="D32" i="987"/>
  <c r="F32" i="987"/>
  <c r="F32" i="988"/>
  <c r="C32" i="990"/>
  <c r="E32" i="990"/>
  <c r="L3" i="990"/>
  <c r="L4" i="990" s="1"/>
  <c r="O8" i="990" s="1"/>
  <c r="O11" i="990" s="1"/>
  <c r="L3" i="987"/>
  <c r="L4" i="987" s="1"/>
  <c r="O8" i="987" s="1"/>
  <c r="O11" i="987" s="1"/>
  <c r="O5" i="987"/>
  <c r="O6" i="987" s="1"/>
  <c r="O5" i="990"/>
  <c r="O6" i="990" s="1"/>
  <c r="D32" i="990"/>
  <c r="E32" i="988"/>
  <c r="L3" i="988"/>
  <c r="L4" i="988" s="1"/>
  <c r="O8" i="988" s="1"/>
  <c r="O11" i="988" s="1"/>
  <c r="C32" i="988"/>
  <c r="O5" i="988"/>
  <c r="O6" i="988" s="1"/>
  <c r="D32" i="988"/>
  <c r="D32" i="984"/>
  <c r="O5" i="984"/>
  <c r="O6" i="984" s="1"/>
  <c r="L3" i="984"/>
  <c r="L4" i="984" s="1"/>
  <c r="O8" i="984" s="1"/>
  <c r="O11" i="984" s="1"/>
  <c r="C32" i="984"/>
  <c r="E32" i="984"/>
  <c r="F32" i="984"/>
  <c r="B29" i="980"/>
  <c r="D29" i="980" s="1"/>
  <c r="B27" i="980"/>
  <c r="B26" i="980"/>
  <c r="B28" i="980"/>
  <c r="B25" i="980"/>
  <c r="B29" i="974"/>
  <c r="B27" i="974"/>
  <c r="B25" i="974"/>
  <c r="B28" i="974"/>
  <c r="B26" i="974"/>
  <c r="E26" i="969"/>
  <c r="C26" i="969"/>
  <c r="B28" i="969"/>
  <c r="B25" i="969"/>
  <c r="B27" i="969"/>
  <c r="B29" i="969"/>
  <c r="O14" i="990" l="1"/>
  <c r="O15" i="990" s="1"/>
  <c r="O16" i="990" s="1"/>
  <c r="O17" i="990" s="1"/>
  <c r="O18" i="990" s="1"/>
  <c r="O19" i="990" s="1"/>
  <c r="O20" i="990" s="1"/>
  <c r="O21" i="990" s="1"/>
  <c r="O22" i="990" s="1"/>
  <c r="O23" i="990" s="1"/>
  <c r="O24" i="990" s="1"/>
  <c r="O25" i="990" s="1"/>
  <c r="O26" i="990" s="1"/>
  <c r="O27" i="990" s="1"/>
  <c r="O28" i="990" s="1"/>
  <c r="O29" i="990" s="1"/>
  <c r="O30" i="990" s="1"/>
  <c r="O31" i="990" s="1"/>
  <c r="O32" i="990" s="1"/>
  <c r="O33" i="990" s="1"/>
  <c r="O34" i="990" s="1"/>
  <c r="O35" i="990" s="1"/>
  <c r="O36" i="990" s="1"/>
  <c r="O37" i="990" s="1"/>
  <c r="O38" i="990" s="1"/>
  <c r="O14" i="987"/>
  <c r="O15" i="987" s="1"/>
  <c r="O16" i="987" s="1"/>
  <c r="O17" i="987" s="1"/>
  <c r="O18" i="987" s="1"/>
  <c r="O19" i="987" s="1"/>
  <c r="O20" i="987" s="1"/>
  <c r="O21" i="987" s="1"/>
  <c r="O22" i="987" s="1"/>
  <c r="O23" i="987" s="1"/>
  <c r="O24" i="987" s="1"/>
  <c r="O25" i="987" s="1"/>
  <c r="O26" i="987" s="1"/>
  <c r="O27" i="987" s="1"/>
  <c r="O28" i="987" s="1"/>
  <c r="O29" i="987" s="1"/>
  <c r="O30" i="987" s="1"/>
  <c r="O31" i="987" s="1"/>
  <c r="O32" i="987" s="1"/>
  <c r="O33" i="987" s="1"/>
  <c r="O34" i="987" s="1"/>
  <c r="O35" i="987" s="1"/>
  <c r="O36" i="987" s="1"/>
  <c r="O37" i="987" s="1"/>
  <c r="O38" i="987" s="1"/>
  <c r="O14" i="988"/>
  <c r="O15" i="988" s="1"/>
  <c r="O16" i="988" s="1"/>
  <c r="O17" i="988" s="1"/>
  <c r="O18" i="988" s="1"/>
  <c r="O19" i="988" s="1"/>
  <c r="O20" i="988" s="1"/>
  <c r="O21" i="988" s="1"/>
  <c r="O22" i="988" s="1"/>
  <c r="O23" i="988" s="1"/>
  <c r="O24" i="988" s="1"/>
  <c r="O25" i="988" s="1"/>
  <c r="O26" i="988" s="1"/>
  <c r="O27" i="988" s="1"/>
  <c r="O28" i="988" s="1"/>
  <c r="O29" i="988" s="1"/>
  <c r="O30" i="988" s="1"/>
  <c r="O31" i="988" s="1"/>
  <c r="O32" i="988" s="1"/>
  <c r="O33" i="988" s="1"/>
  <c r="O34" i="988" s="1"/>
  <c r="O35" i="988" s="1"/>
  <c r="O36" i="988" s="1"/>
  <c r="O37" i="988" s="1"/>
  <c r="O38" i="988" s="1"/>
  <c r="O14" i="984"/>
  <c r="O15" i="984" s="1"/>
  <c r="O16" i="984" s="1"/>
  <c r="O17" i="984" s="1"/>
  <c r="O18" i="984" s="1"/>
  <c r="O19" i="984" s="1"/>
  <c r="O20" i="984" s="1"/>
  <c r="O21" i="984" s="1"/>
  <c r="O22" i="984" s="1"/>
  <c r="O23" i="984" s="1"/>
  <c r="O24" i="984" s="1"/>
  <c r="O25" i="984" s="1"/>
  <c r="O26" i="984" s="1"/>
  <c r="O27" i="984" s="1"/>
  <c r="O28" i="984" s="1"/>
  <c r="O29" i="984" s="1"/>
  <c r="O30" i="984" s="1"/>
  <c r="O31" i="984" s="1"/>
  <c r="O32" i="984" s="1"/>
  <c r="O33" i="984" s="1"/>
  <c r="O34" i="984" s="1"/>
  <c r="O35" i="984" s="1"/>
  <c r="O36" i="984" s="1"/>
  <c r="O37" i="984" s="1"/>
  <c r="O38" i="984" s="1"/>
  <c r="F28" i="980"/>
  <c r="D28" i="980"/>
  <c r="C26" i="980"/>
  <c r="E26" i="980"/>
  <c r="E28" i="980"/>
  <c r="C28" i="980"/>
  <c r="C27" i="980"/>
  <c r="E27" i="980"/>
  <c r="E25" i="980"/>
  <c r="D25" i="980"/>
  <c r="C25" i="980"/>
  <c r="B30" i="980"/>
  <c r="F25" i="980"/>
  <c r="C29" i="980"/>
  <c r="F29" i="980"/>
  <c r="E29" i="980"/>
  <c r="F27" i="974"/>
  <c r="D27" i="974"/>
  <c r="C27" i="974"/>
  <c r="E27" i="974"/>
  <c r="E26" i="974"/>
  <c r="C26" i="974"/>
  <c r="C29" i="974"/>
  <c r="F29" i="974"/>
  <c r="E29" i="974"/>
  <c r="D29" i="974"/>
  <c r="E28" i="974"/>
  <c r="D28" i="974"/>
  <c r="C28" i="974"/>
  <c r="F28" i="974"/>
  <c r="C25" i="974"/>
  <c r="E25" i="974"/>
  <c r="B30" i="974"/>
  <c r="F28" i="969"/>
  <c r="D28" i="969"/>
  <c r="E28" i="969"/>
  <c r="E27" i="969"/>
  <c r="C29" i="969"/>
  <c r="E29" i="969"/>
  <c r="D29" i="969"/>
  <c r="F29" i="969"/>
  <c r="C25" i="969"/>
  <c r="F25" i="969"/>
  <c r="E25" i="969"/>
  <c r="B30" i="969"/>
  <c r="D25" i="969"/>
  <c r="C27" i="969"/>
  <c r="C28" i="969"/>
  <c r="F30" i="980" l="1"/>
  <c r="E30" i="980"/>
  <c r="D31" i="980"/>
  <c r="F31" i="980" s="1"/>
  <c r="C31" i="980"/>
  <c r="E31" i="980" s="1"/>
  <c r="C30" i="980"/>
  <c r="D30" i="980"/>
  <c r="D31" i="974"/>
  <c r="F31" i="974" s="1"/>
  <c r="C31" i="974"/>
  <c r="E31" i="974" s="1"/>
  <c r="F30" i="974"/>
  <c r="E30" i="974"/>
  <c r="D30" i="974"/>
  <c r="C30" i="974"/>
  <c r="E30" i="969"/>
  <c r="D31" i="969"/>
  <c r="F31" i="969" s="1"/>
  <c r="C31" i="969"/>
  <c r="E31" i="969" s="1"/>
  <c r="F30" i="969"/>
  <c r="D30" i="969"/>
  <c r="C30" i="969"/>
  <c r="E32" i="980" l="1"/>
  <c r="F32" i="980"/>
  <c r="D32" i="980"/>
  <c r="O5" i="980"/>
  <c r="O6" i="980" s="1"/>
  <c r="C32" i="980"/>
  <c r="L3" i="980"/>
  <c r="L4" i="980" s="1"/>
  <c r="O8" i="980" s="1"/>
  <c r="O11" i="980" s="1"/>
  <c r="E32" i="974"/>
  <c r="F32" i="974"/>
  <c r="L3" i="974"/>
  <c r="L4" i="974" s="1"/>
  <c r="O8" i="974" s="1"/>
  <c r="O11" i="974" s="1"/>
  <c r="C32" i="974"/>
  <c r="O5" i="974"/>
  <c r="O6" i="974" s="1"/>
  <c r="D32" i="974"/>
  <c r="E32" i="969"/>
  <c r="F32" i="969"/>
  <c r="P3" i="969"/>
  <c r="P4" i="969" s="1"/>
  <c r="S8" i="969" s="1"/>
  <c r="S11" i="969" s="1"/>
  <c r="C32" i="969"/>
  <c r="S5" i="969"/>
  <c r="S6" i="969" s="1"/>
  <c r="D32" i="969"/>
  <c r="B24" i="961"/>
  <c r="J4" i="961"/>
  <c r="J5" i="961" s="1"/>
  <c r="B28" i="961" s="1"/>
  <c r="H30" i="961"/>
  <c r="G30" i="961"/>
  <c r="F23" i="961"/>
  <c r="E23" i="961"/>
  <c r="D23" i="961"/>
  <c r="C23" i="961"/>
  <c r="F22" i="961"/>
  <c r="E22" i="961"/>
  <c r="D22" i="961"/>
  <c r="C22" i="961"/>
  <c r="F21" i="961"/>
  <c r="E21" i="961"/>
  <c r="D21" i="961"/>
  <c r="C21" i="961"/>
  <c r="F20" i="961"/>
  <c r="E20" i="961"/>
  <c r="D20" i="961"/>
  <c r="C20" i="961"/>
  <c r="F19" i="961"/>
  <c r="E19" i="961"/>
  <c r="D19" i="961"/>
  <c r="C19" i="961"/>
  <c r="F18" i="961"/>
  <c r="E18" i="961"/>
  <c r="D18" i="961"/>
  <c r="C18" i="961"/>
  <c r="F17" i="961"/>
  <c r="E17" i="961"/>
  <c r="D17" i="961"/>
  <c r="C17" i="961"/>
  <c r="F16" i="961"/>
  <c r="E16" i="961"/>
  <c r="D16" i="961"/>
  <c r="C16" i="961"/>
  <c r="L15" i="961"/>
  <c r="F15" i="961"/>
  <c r="E15" i="961"/>
  <c r="D15" i="961"/>
  <c r="C15" i="961"/>
  <c r="L14" i="961"/>
  <c r="F14" i="961"/>
  <c r="E14" i="961"/>
  <c r="D14" i="961"/>
  <c r="C14" i="961"/>
  <c r="F13" i="961"/>
  <c r="E13" i="961"/>
  <c r="D13" i="961"/>
  <c r="C13" i="961"/>
  <c r="F12" i="961"/>
  <c r="E12" i="961"/>
  <c r="D12" i="961"/>
  <c r="C12" i="961"/>
  <c r="F11" i="961"/>
  <c r="E11" i="961"/>
  <c r="D11" i="961"/>
  <c r="C11" i="961"/>
  <c r="F10" i="961"/>
  <c r="E10" i="961"/>
  <c r="D10" i="961"/>
  <c r="C10" i="961"/>
  <c r="N9" i="961"/>
  <c r="M9" i="961"/>
  <c r="L9" i="961"/>
  <c r="F9" i="961"/>
  <c r="E9" i="961"/>
  <c r="D9" i="961"/>
  <c r="C9" i="961"/>
  <c r="N8" i="961"/>
  <c r="M8" i="961"/>
  <c r="L8" i="961"/>
  <c r="F8" i="961"/>
  <c r="E8" i="961"/>
  <c r="D8" i="961"/>
  <c r="C8" i="961"/>
  <c r="N7" i="961"/>
  <c r="M7" i="961"/>
  <c r="L7" i="961"/>
  <c r="F7" i="961"/>
  <c r="E7" i="961"/>
  <c r="D7" i="961"/>
  <c r="C7" i="961"/>
  <c r="N6" i="961"/>
  <c r="M6" i="961"/>
  <c r="L6" i="961"/>
  <c r="F6" i="961"/>
  <c r="E6" i="961"/>
  <c r="D6" i="961"/>
  <c r="C6" i="961"/>
  <c r="O14" i="980" l="1"/>
  <c r="O15" i="980" s="1"/>
  <c r="O16" i="980" s="1"/>
  <c r="O17" i="980" s="1"/>
  <c r="O18" i="980" s="1"/>
  <c r="O19" i="980" s="1"/>
  <c r="O20" i="980" s="1"/>
  <c r="O21" i="980" s="1"/>
  <c r="O22" i="980" s="1"/>
  <c r="O23" i="980" s="1"/>
  <c r="O24" i="980" s="1"/>
  <c r="O25" i="980" s="1"/>
  <c r="O26" i="980" s="1"/>
  <c r="O27" i="980" s="1"/>
  <c r="O28" i="980" s="1"/>
  <c r="O29" i="980" s="1"/>
  <c r="O30" i="980" s="1"/>
  <c r="O31" i="980" s="1"/>
  <c r="O32" i="980" s="1"/>
  <c r="O33" i="980" s="1"/>
  <c r="O34" i="980" s="1"/>
  <c r="O35" i="980" s="1"/>
  <c r="O36" i="980" s="1"/>
  <c r="O37" i="980" s="1"/>
  <c r="O38" i="980" s="1"/>
  <c r="O14" i="974"/>
  <c r="O15" i="974" s="1"/>
  <c r="O16" i="974" s="1"/>
  <c r="O17" i="974" s="1"/>
  <c r="O18" i="974" s="1"/>
  <c r="O19" i="974" s="1"/>
  <c r="O20" i="974" s="1"/>
  <c r="O21" i="974" s="1"/>
  <c r="O22" i="974" s="1"/>
  <c r="O23" i="974" s="1"/>
  <c r="O24" i="974" s="1"/>
  <c r="O25" i="974" s="1"/>
  <c r="O26" i="974" s="1"/>
  <c r="O27" i="974" s="1"/>
  <c r="O28" i="974" s="1"/>
  <c r="O29" i="974" s="1"/>
  <c r="O30" i="974" s="1"/>
  <c r="O31" i="974" s="1"/>
  <c r="O32" i="974" s="1"/>
  <c r="O33" i="974" s="1"/>
  <c r="O34" i="974" s="1"/>
  <c r="O35" i="974" s="1"/>
  <c r="O36" i="974" s="1"/>
  <c r="O37" i="974" s="1"/>
  <c r="O38" i="974" s="1"/>
  <c r="S14" i="969"/>
  <c r="S15" i="969" s="1"/>
  <c r="S16" i="969" s="1"/>
  <c r="S17" i="969" s="1"/>
  <c r="S18" i="969" s="1"/>
  <c r="S19" i="969" s="1"/>
  <c r="S20" i="969" s="1"/>
  <c r="S21" i="969" s="1"/>
  <c r="S22" i="969" s="1"/>
  <c r="S23" i="969" s="1"/>
  <c r="S24" i="969" s="1"/>
  <c r="S25" i="969" s="1"/>
  <c r="S26" i="969" s="1"/>
  <c r="S27" i="969" s="1"/>
  <c r="S28" i="969" s="1"/>
  <c r="S29" i="969" s="1"/>
  <c r="S30" i="969" s="1"/>
  <c r="S31" i="969" s="1"/>
  <c r="S32" i="969" s="1"/>
  <c r="S33" i="969" s="1"/>
  <c r="S34" i="969" s="1"/>
  <c r="S35" i="969" s="1"/>
  <c r="S36" i="969" s="1"/>
  <c r="S37" i="969" s="1"/>
  <c r="S38" i="969" s="1"/>
  <c r="E28" i="961"/>
  <c r="D28" i="961"/>
  <c r="F28" i="961"/>
  <c r="C28" i="961"/>
  <c r="B25" i="961"/>
  <c r="B27" i="961"/>
  <c r="B29" i="961"/>
  <c r="B26" i="961"/>
  <c r="E26" i="961" l="1"/>
  <c r="D26" i="961"/>
  <c r="C26" i="961"/>
  <c r="F26" i="961"/>
  <c r="C27" i="961"/>
  <c r="F27" i="961"/>
  <c r="D27" i="961"/>
  <c r="E27" i="961"/>
  <c r="C25" i="961"/>
  <c r="F25" i="961"/>
  <c r="D25" i="961"/>
  <c r="E25" i="961"/>
  <c r="B30" i="961"/>
  <c r="C29" i="961"/>
  <c r="F29" i="961"/>
  <c r="D29" i="961"/>
  <c r="E29" i="961"/>
  <c r="C30" i="961" l="1"/>
  <c r="C31" i="961"/>
  <c r="E31" i="961" s="1"/>
  <c r="D31" i="961"/>
  <c r="F31" i="961" s="1"/>
  <c r="E30" i="961"/>
  <c r="D30" i="961"/>
  <c r="F30" i="961"/>
  <c r="F32" i="961" l="1"/>
  <c r="E32" i="961"/>
  <c r="C32" i="961"/>
  <c r="D32" i="961"/>
  <c r="S5" i="961"/>
  <c r="S6" i="961" s="1"/>
  <c r="P3" i="961"/>
  <c r="P4" i="961" s="1"/>
  <c r="S8" i="961" s="1"/>
  <c r="S11" i="961" s="1"/>
  <c r="S14" i="961" l="1"/>
  <c r="S15" i="961" s="1"/>
  <c r="S16" i="961" s="1"/>
  <c r="S17" i="961" s="1"/>
  <c r="S18" i="961" s="1"/>
  <c r="S19" i="961" s="1"/>
  <c r="S20" i="961" s="1"/>
  <c r="S21" i="961" s="1"/>
  <c r="S22" i="961" s="1"/>
  <c r="S23" i="961" s="1"/>
  <c r="S24" i="961" s="1"/>
  <c r="S25" i="961" s="1"/>
  <c r="S26" i="961" s="1"/>
  <c r="S27" i="961" s="1"/>
  <c r="S28" i="961" s="1"/>
  <c r="S29" i="961" s="1"/>
  <c r="S30" i="961" s="1"/>
  <c r="S31" i="961" s="1"/>
  <c r="S32" i="961" s="1"/>
  <c r="S33" i="961" s="1"/>
  <c r="S34" i="961" s="1"/>
  <c r="S35" i="961" s="1"/>
  <c r="S36" i="961" s="1"/>
  <c r="S37" i="961" s="1"/>
  <c r="S38" i="961" s="1"/>
  <c r="D26" i="874" l="1"/>
  <c r="G42" i="907" l="1"/>
  <c r="G41" i="907"/>
  <c r="G29" i="907"/>
  <c r="G28" i="907"/>
  <c r="G27" i="907"/>
  <c r="G26" i="907"/>
  <c r="G25" i="907"/>
  <c r="E42" i="907"/>
  <c r="E41" i="907"/>
  <c r="B42" i="907"/>
  <c r="B41" i="907"/>
  <c r="G43" i="907" l="1"/>
  <c r="E29" i="907"/>
  <c r="E28" i="907"/>
  <c r="E27" i="907"/>
  <c r="E26" i="907"/>
  <c r="E25" i="907"/>
  <c r="E24" i="907"/>
  <c r="E23" i="907"/>
  <c r="E22" i="907"/>
  <c r="E21" i="907"/>
  <c r="E20" i="907"/>
  <c r="E19" i="907"/>
  <c r="E18" i="907"/>
  <c r="E17" i="907"/>
  <c r="E16" i="907"/>
  <c r="E15" i="907"/>
  <c r="E14" i="907"/>
  <c r="E13" i="907"/>
  <c r="E12" i="907"/>
  <c r="E11" i="907"/>
  <c r="E10" i="907"/>
  <c r="E9" i="907"/>
  <c r="E8" i="907"/>
  <c r="E7" i="907"/>
  <c r="E6" i="907"/>
  <c r="C29" i="907"/>
  <c r="C28" i="907"/>
  <c r="C27" i="907"/>
  <c r="C26" i="907"/>
  <c r="C25" i="907"/>
  <c r="C24" i="907"/>
  <c r="C23" i="907"/>
  <c r="C22" i="907"/>
  <c r="C21" i="907"/>
  <c r="C20" i="907"/>
  <c r="C19" i="907"/>
  <c r="C18" i="907"/>
  <c r="C17" i="907"/>
  <c r="C16" i="907"/>
  <c r="C15" i="907"/>
  <c r="C14" i="907"/>
  <c r="C13" i="907"/>
  <c r="C12" i="907"/>
  <c r="C11" i="907"/>
  <c r="C10" i="907"/>
  <c r="C9" i="907"/>
  <c r="C8" i="907"/>
  <c r="C7" i="907"/>
  <c r="C6" i="907"/>
  <c r="G21" i="907"/>
  <c r="G22" i="907"/>
  <c r="G23" i="907"/>
  <c r="G24" i="907"/>
  <c r="K4" i="907"/>
  <c r="K5" i="907" s="1"/>
  <c r="I30" i="907"/>
  <c r="H30" i="907"/>
  <c r="B30" i="907"/>
  <c r="E33" i="907" s="1"/>
  <c r="G20" i="907"/>
  <c r="G19" i="907"/>
  <c r="G18" i="907"/>
  <c r="G17" i="907"/>
  <c r="G16" i="907"/>
  <c r="M15" i="907"/>
  <c r="G15" i="907"/>
  <c r="M14" i="907"/>
  <c r="G14" i="907"/>
  <c r="G13" i="907"/>
  <c r="G12" i="907"/>
  <c r="G11" i="907"/>
  <c r="G10" i="907"/>
  <c r="O9" i="907"/>
  <c r="N9" i="907"/>
  <c r="M9" i="907"/>
  <c r="G9" i="907"/>
  <c r="O8" i="907"/>
  <c r="N8" i="907"/>
  <c r="M8" i="907"/>
  <c r="G8" i="907"/>
  <c r="O7" i="907"/>
  <c r="N7" i="907"/>
  <c r="M7" i="907"/>
  <c r="G7" i="907"/>
  <c r="O6" i="907"/>
  <c r="N6" i="907"/>
  <c r="M6" i="907"/>
  <c r="G6" i="907"/>
  <c r="C30" i="907" l="1"/>
  <c r="E30" i="907"/>
  <c r="G31" i="907"/>
  <c r="F30" i="907"/>
  <c r="T5" i="907" s="1"/>
  <c r="T6" i="907" s="1"/>
  <c r="D30" i="907"/>
  <c r="B33" i="907"/>
  <c r="D25" i="889"/>
  <c r="C25" i="889"/>
  <c r="E24" i="889"/>
  <c r="I4" i="889"/>
  <c r="I5" i="889" s="1"/>
  <c r="G30" i="889"/>
  <c r="F30" i="889"/>
  <c r="E23" i="889"/>
  <c r="D23" i="889"/>
  <c r="C23" i="889"/>
  <c r="E22" i="889"/>
  <c r="D22" i="889"/>
  <c r="C22" i="889"/>
  <c r="E21" i="889"/>
  <c r="D21" i="889"/>
  <c r="C21" i="889"/>
  <c r="E20" i="889"/>
  <c r="D20" i="889"/>
  <c r="C20" i="889"/>
  <c r="E19" i="889"/>
  <c r="D19" i="889"/>
  <c r="C19" i="889"/>
  <c r="E18" i="889"/>
  <c r="D18" i="889"/>
  <c r="C18" i="889"/>
  <c r="E17" i="889"/>
  <c r="D17" i="889"/>
  <c r="C17" i="889"/>
  <c r="E16" i="889"/>
  <c r="D16" i="889"/>
  <c r="C16" i="889"/>
  <c r="E15" i="889"/>
  <c r="D15" i="889"/>
  <c r="C15" i="889"/>
  <c r="K14" i="889"/>
  <c r="E14" i="889"/>
  <c r="D14" i="889"/>
  <c r="C14" i="889"/>
  <c r="E13" i="889"/>
  <c r="D13" i="889"/>
  <c r="C13" i="889"/>
  <c r="E12" i="889"/>
  <c r="D12" i="889"/>
  <c r="C12" i="889"/>
  <c r="E11" i="889"/>
  <c r="D11" i="889"/>
  <c r="C11" i="889"/>
  <c r="E10" i="889"/>
  <c r="D10" i="889"/>
  <c r="C10" i="889"/>
  <c r="E9" i="889"/>
  <c r="D9" i="889"/>
  <c r="C9" i="889"/>
  <c r="E8" i="889"/>
  <c r="D8" i="889"/>
  <c r="C8" i="889"/>
  <c r="E7" i="889"/>
  <c r="D7" i="889"/>
  <c r="C7" i="889"/>
  <c r="E6" i="889"/>
  <c r="D6" i="889"/>
  <c r="C6" i="889"/>
  <c r="D25" i="886"/>
  <c r="C22" i="886"/>
  <c r="D22" i="886"/>
  <c r="E22" i="886"/>
  <c r="C11" i="886"/>
  <c r="G30" i="886"/>
  <c r="F30" i="886"/>
  <c r="E24" i="886"/>
  <c r="E23" i="886"/>
  <c r="D23" i="886"/>
  <c r="C23" i="886"/>
  <c r="E21" i="886"/>
  <c r="D21" i="886"/>
  <c r="C21" i="886"/>
  <c r="E20" i="886"/>
  <c r="D20" i="886"/>
  <c r="C20" i="886"/>
  <c r="E19" i="886"/>
  <c r="D19" i="886"/>
  <c r="C19" i="886"/>
  <c r="E18" i="886"/>
  <c r="D18" i="886"/>
  <c r="C18" i="886"/>
  <c r="E17" i="886"/>
  <c r="D17" i="886"/>
  <c r="C17" i="886"/>
  <c r="E16" i="886"/>
  <c r="D16" i="886"/>
  <c r="C16" i="886"/>
  <c r="E15" i="886"/>
  <c r="D15" i="886"/>
  <c r="C15" i="886"/>
  <c r="K14" i="886"/>
  <c r="E14" i="886"/>
  <c r="D14" i="886"/>
  <c r="C14" i="886"/>
  <c r="E13" i="886"/>
  <c r="D13" i="886"/>
  <c r="C13" i="886"/>
  <c r="E12" i="886"/>
  <c r="D12" i="886"/>
  <c r="C12" i="886"/>
  <c r="E11" i="886"/>
  <c r="D11" i="886"/>
  <c r="E10" i="886"/>
  <c r="D10" i="886"/>
  <c r="C10" i="886"/>
  <c r="E9" i="886"/>
  <c r="D9" i="886"/>
  <c r="C9" i="886"/>
  <c r="E8" i="886"/>
  <c r="D8" i="886"/>
  <c r="C8" i="886"/>
  <c r="E7" i="886"/>
  <c r="D7" i="886"/>
  <c r="C7" i="886"/>
  <c r="E6" i="886"/>
  <c r="D6" i="886"/>
  <c r="C6" i="886"/>
  <c r="I4" i="886"/>
  <c r="I5" i="886" s="1"/>
  <c r="E34" i="907" l="1"/>
  <c r="B34" i="907"/>
  <c r="G30" i="907"/>
  <c r="B29" i="889"/>
  <c r="B25" i="889"/>
  <c r="B28" i="889"/>
  <c r="B27" i="889"/>
  <c r="B26" i="889"/>
  <c r="B29" i="886"/>
  <c r="B25" i="886"/>
  <c r="B26" i="886"/>
  <c r="B28" i="886"/>
  <c r="B27" i="886"/>
  <c r="Q3" i="907" l="1"/>
  <c r="Q4" i="907" s="1"/>
  <c r="T8" i="907" s="1"/>
  <c r="T11" i="907" s="1"/>
  <c r="T14" i="907" s="1"/>
  <c r="T15" i="907" s="1"/>
  <c r="T16" i="907" s="1"/>
  <c r="T17" i="907" s="1"/>
  <c r="T18" i="907" s="1"/>
  <c r="T19" i="907" s="1"/>
  <c r="T20" i="907" s="1"/>
  <c r="T21" i="907" s="1"/>
  <c r="T22" i="907" s="1"/>
  <c r="T23" i="907" s="1"/>
  <c r="T24" i="907" s="1"/>
  <c r="T25" i="907" s="1"/>
  <c r="T26" i="907" s="1"/>
  <c r="T27" i="907" s="1"/>
  <c r="T28" i="907" s="1"/>
  <c r="T29" i="907" s="1"/>
  <c r="T30" i="907" s="1"/>
  <c r="T31" i="907" s="1"/>
  <c r="T32" i="907" s="1"/>
  <c r="T33" i="907" s="1"/>
  <c r="T34" i="907" s="1"/>
  <c r="T35" i="907" s="1"/>
  <c r="T36" i="907" s="1"/>
  <c r="T37" i="907" s="1"/>
  <c r="T38" i="907" s="1"/>
  <c r="G34" i="907"/>
  <c r="B30" i="889"/>
  <c r="E27" i="889"/>
  <c r="C26" i="886"/>
  <c r="D26" i="886"/>
  <c r="C28" i="886"/>
  <c r="D28" i="886"/>
  <c r="B30" i="886"/>
  <c r="C25" i="886"/>
  <c r="D27" i="886"/>
  <c r="C27" i="886"/>
  <c r="D29" i="886"/>
  <c r="C29" i="886"/>
  <c r="E25" i="889" l="1"/>
  <c r="C30" i="889"/>
  <c r="E28" i="889"/>
  <c r="D33" i="889"/>
  <c r="B33" i="889"/>
  <c r="E29" i="889"/>
  <c r="E26" i="889"/>
  <c r="D30" i="889"/>
  <c r="R5" i="889" s="1"/>
  <c r="R6" i="889" s="1"/>
  <c r="E29" i="886"/>
  <c r="E25" i="886"/>
  <c r="C30" i="886"/>
  <c r="E28" i="886"/>
  <c r="D30" i="886"/>
  <c r="R5" i="886" s="1"/>
  <c r="R6" i="886" s="1"/>
  <c r="E27" i="886"/>
  <c r="D33" i="886"/>
  <c r="B33" i="886"/>
  <c r="E26" i="886"/>
  <c r="D34" i="889" l="1"/>
  <c r="E30" i="889"/>
  <c r="O3" i="889" s="1"/>
  <c r="O4" i="889" s="1"/>
  <c r="R8" i="889" s="1"/>
  <c r="R11" i="889" s="1"/>
  <c r="R14" i="889" s="1"/>
  <c r="R15" i="889" s="1"/>
  <c r="R16" i="889" s="1"/>
  <c r="R17" i="889" s="1"/>
  <c r="R18" i="889" s="1"/>
  <c r="R19" i="889" s="1"/>
  <c r="R20" i="889" s="1"/>
  <c r="R21" i="889" s="1"/>
  <c r="R22" i="889" s="1"/>
  <c r="R23" i="889" s="1"/>
  <c r="R24" i="889" s="1"/>
  <c r="R25" i="889" s="1"/>
  <c r="R26" i="889" s="1"/>
  <c r="R27" i="889" s="1"/>
  <c r="R28" i="889" s="1"/>
  <c r="R29" i="889" s="1"/>
  <c r="R30" i="889" s="1"/>
  <c r="R31" i="889" s="1"/>
  <c r="R32" i="889" s="1"/>
  <c r="R33" i="889" s="1"/>
  <c r="R34" i="889" s="1"/>
  <c r="R35" i="889" s="1"/>
  <c r="R36" i="889" s="1"/>
  <c r="R37" i="889" s="1"/>
  <c r="R38" i="889" s="1"/>
  <c r="B34" i="889"/>
  <c r="E31" i="889"/>
  <c r="E30" i="886"/>
  <c r="O3" i="886" s="1"/>
  <c r="O4" i="886" s="1"/>
  <c r="R8" i="886" s="1"/>
  <c r="R11" i="886" s="1"/>
  <c r="R14" i="886" s="1"/>
  <c r="R15" i="886" s="1"/>
  <c r="R16" i="886" s="1"/>
  <c r="R17" i="886" s="1"/>
  <c r="R18" i="886" s="1"/>
  <c r="R19" i="886" s="1"/>
  <c r="R20" i="886" s="1"/>
  <c r="R21" i="886" s="1"/>
  <c r="R22" i="886" s="1"/>
  <c r="R23" i="886" s="1"/>
  <c r="R24" i="886" s="1"/>
  <c r="R25" i="886" s="1"/>
  <c r="R26" i="886" s="1"/>
  <c r="R27" i="886" s="1"/>
  <c r="R28" i="886" s="1"/>
  <c r="R29" i="886" s="1"/>
  <c r="R30" i="886" s="1"/>
  <c r="R31" i="886" s="1"/>
  <c r="R32" i="886" s="1"/>
  <c r="R33" i="886" s="1"/>
  <c r="R34" i="886" s="1"/>
  <c r="R35" i="886" s="1"/>
  <c r="R36" i="886" s="1"/>
  <c r="R37" i="886" s="1"/>
  <c r="R38" i="886" s="1"/>
  <c r="D34" i="886"/>
  <c r="B34" i="886"/>
  <c r="E31" i="886"/>
  <c r="I4" i="874" l="1"/>
  <c r="I5" i="874" s="1"/>
  <c r="G30" i="874"/>
  <c r="F30" i="874"/>
  <c r="B30" i="874"/>
  <c r="D33" i="874" s="1"/>
  <c r="D29" i="874"/>
  <c r="C29" i="874"/>
  <c r="D28" i="874"/>
  <c r="C28" i="874"/>
  <c r="D27" i="874"/>
  <c r="C27" i="874"/>
  <c r="C26" i="874"/>
  <c r="E23" i="874"/>
  <c r="E22" i="874"/>
  <c r="E21" i="874"/>
  <c r="E20" i="874"/>
  <c r="E19" i="874"/>
  <c r="E18" i="874"/>
  <c r="E17" i="874"/>
  <c r="E16" i="874"/>
  <c r="K15" i="874"/>
  <c r="E15" i="874"/>
  <c r="K14" i="874"/>
  <c r="E14" i="874"/>
  <c r="E13" i="874"/>
  <c r="E12" i="874"/>
  <c r="E11" i="874"/>
  <c r="E10" i="874"/>
  <c r="M9" i="874"/>
  <c r="L9" i="874"/>
  <c r="K9" i="874"/>
  <c r="E9" i="874"/>
  <c r="M8" i="874"/>
  <c r="L8" i="874"/>
  <c r="K8" i="874"/>
  <c r="E8" i="874"/>
  <c r="M7" i="874"/>
  <c r="L7" i="874"/>
  <c r="K7" i="874"/>
  <c r="E7" i="874"/>
  <c r="M6" i="874"/>
  <c r="L6" i="874"/>
  <c r="K6" i="874"/>
  <c r="E6" i="874"/>
  <c r="E24" i="843"/>
  <c r="E25" i="874" l="1"/>
  <c r="E26" i="874"/>
  <c r="E28" i="874"/>
  <c r="E27" i="874"/>
  <c r="E29" i="874"/>
  <c r="C30" i="874"/>
  <c r="B33" i="874"/>
  <c r="D30" i="874"/>
  <c r="R5" i="874" s="1"/>
  <c r="R6" i="874" s="1"/>
  <c r="E31" i="874" l="1"/>
  <c r="B34" i="874"/>
  <c r="D34" i="874"/>
  <c r="E30" i="874"/>
  <c r="O3" i="874" s="1"/>
  <c r="O4" i="874" s="1"/>
  <c r="R8" i="874" s="1"/>
  <c r="R11" i="874" s="1"/>
  <c r="R14" i="874" s="1"/>
  <c r="R15" i="874" s="1"/>
  <c r="R16" i="874" s="1"/>
  <c r="R17" i="874" s="1"/>
  <c r="R18" i="874" s="1"/>
  <c r="R19" i="874" s="1"/>
  <c r="R20" i="874" s="1"/>
  <c r="R21" i="874" s="1"/>
  <c r="R22" i="874" s="1"/>
  <c r="R23" i="874" s="1"/>
  <c r="R24" i="874" s="1"/>
  <c r="R25" i="874" s="1"/>
  <c r="R26" i="874" s="1"/>
  <c r="R27" i="874" s="1"/>
  <c r="R28" i="874" s="1"/>
  <c r="R29" i="874" s="1"/>
  <c r="R30" i="874" s="1"/>
  <c r="R31" i="874" s="1"/>
  <c r="R32" i="874" s="1"/>
  <c r="R33" i="874" s="1"/>
  <c r="R34" i="874" s="1"/>
  <c r="R35" i="874" s="1"/>
  <c r="R36" i="874" s="1"/>
  <c r="R37" i="874" s="1"/>
  <c r="R38" i="874" s="1"/>
  <c r="D25" i="843" l="1"/>
  <c r="D30" i="843" s="1"/>
  <c r="R5" i="843" s="1"/>
  <c r="R6" i="843" s="1"/>
  <c r="C25" i="843"/>
  <c r="E26" i="843"/>
  <c r="I5" i="843"/>
  <c r="I3" i="843"/>
  <c r="G30" i="843"/>
  <c r="F30" i="843"/>
  <c r="E29" i="843"/>
  <c r="E28" i="843"/>
  <c r="E27" i="843"/>
  <c r="E23" i="843"/>
  <c r="E22" i="843"/>
  <c r="E21" i="843"/>
  <c r="E20" i="843"/>
  <c r="E19" i="843"/>
  <c r="E18" i="843"/>
  <c r="E17" i="843"/>
  <c r="E16" i="843"/>
  <c r="K15" i="843"/>
  <c r="E15" i="843"/>
  <c r="K14" i="843"/>
  <c r="E14" i="843"/>
  <c r="E13" i="843"/>
  <c r="E12" i="843"/>
  <c r="E11" i="843"/>
  <c r="E10" i="843"/>
  <c r="M9" i="843"/>
  <c r="L9" i="843"/>
  <c r="K9" i="843"/>
  <c r="E9" i="843"/>
  <c r="M8" i="843"/>
  <c r="L8" i="843"/>
  <c r="K8" i="843"/>
  <c r="E8" i="843"/>
  <c r="M7" i="843"/>
  <c r="L7" i="843"/>
  <c r="K7" i="843"/>
  <c r="E7" i="843"/>
  <c r="M6" i="843"/>
  <c r="L6" i="843"/>
  <c r="K6" i="843"/>
  <c r="E6" i="843"/>
  <c r="B30" i="843" l="1"/>
  <c r="E25" i="843"/>
  <c r="E31" i="843" s="1"/>
  <c r="C30" i="843"/>
  <c r="B33" i="843" l="1"/>
  <c r="B34" i="843" s="1"/>
  <c r="D33" i="843"/>
  <c r="D34" i="843" s="1"/>
  <c r="E30" i="843"/>
  <c r="O3" i="843" s="1"/>
  <c r="O4" i="843" s="1"/>
  <c r="R8" i="843" s="1"/>
  <c r="R11" i="843" s="1"/>
  <c r="R14" i="843" s="1"/>
  <c r="R15" i="843" s="1"/>
  <c r="R16" i="843" s="1"/>
  <c r="R17" i="843" s="1"/>
  <c r="R18" i="843" s="1"/>
  <c r="R19" i="843" s="1"/>
  <c r="R20" i="843" s="1"/>
  <c r="R21" i="843" s="1"/>
  <c r="R22" i="843" s="1"/>
  <c r="R23" i="843" s="1"/>
  <c r="R24" i="843" s="1"/>
  <c r="R25" i="843" s="1"/>
  <c r="R26" i="843" s="1"/>
  <c r="R27" i="843" s="1"/>
  <c r="R28" i="843" s="1"/>
  <c r="R29" i="843" s="1"/>
  <c r="R30" i="843" s="1"/>
  <c r="R31" i="843" s="1"/>
  <c r="R32" i="843" s="1"/>
  <c r="R33" i="843" s="1"/>
  <c r="R34" i="843" s="1"/>
  <c r="R35" i="843" s="1"/>
  <c r="R36" i="843" s="1"/>
  <c r="R37" i="843" s="1"/>
  <c r="R38" i="843" s="1"/>
  <c r="I23" i="832" l="1"/>
  <c r="J21" i="832"/>
  <c r="D29" i="832"/>
  <c r="C29" i="832"/>
  <c r="D28" i="832"/>
  <c r="C28" i="832"/>
  <c r="D27" i="832"/>
  <c r="C27" i="832"/>
  <c r="D26" i="832"/>
  <c r="C26" i="832"/>
  <c r="D25" i="832"/>
  <c r="C25" i="832"/>
  <c r="B19" i="832"/>
  <c r="B18" i="832"/>
  <c r="B17" i="832"/>
  <c r="B16" i="832"/>
  <c r="I4" i="832"/>
  <c r="I3" i="832" s="1"/>
  <c r="F30" i="832"/>
  <c r="G30" i="832"/>
  <c r="E24" i="832"/>
  <c r="E23" i="832"/>
  <c r="E22" i="832"/>
  <c r="E21" i="832"/>
  <c r="E20" i="832"/>
  <c r="E19" i="832"/>
  <c r="E18" i="832"/>
  <c r="E17" i="832"/>
  <c r="E16" i="832"/>
  <c r="E15" i="832"/>
  <c r="E14" i="832"/>
  <c r="E13" i="832"/>
  <c r="E12" i="832"/>
  <c r="E11" i="832"/>
  <c r="E10" i="832"/>
  <c r="E9" i="832"/>
  <c r="E8" i="832"/>
  <c r="E7" i="832"/>
  <c r="E6" i="832"/>
  <c r="D30" i="832" l="1"/>
  <c r="R5" i="832" s="1"/>
  <c r="R6" i="832" s="1"/>
  <c r="I5" i="832"/>
  <c r="E28" i="832"/>
  <c r="C30" i="832"/>
  <c r="E26" i="832"/>
  <c r="E27" i="832"/>
  <c r="E29" i="832"/>
  <c r="E25" i="832"/>
  <c r="B30" i="832"/>
  <c r="E30" i="832" l="1"/>
  <c r="O3" i="832" s="1"/>
  <c r="O4" i="832" s="1"/>
  <c r="R8" i="832" s="1"/>
  <c r="R11" i="832" s="1"/>
  <c r="R14" i="832" s="1"/>
  <c r="R15" i="832" s="1"/>
  <c r="R16" i="832" s="1"/>
  <c r="R17" i="832" s="1"/>
  <c r="R18" i="832" s="1"/>
  <c r="R19" i="832" s="1"/>
  <c r="R20" i="832" s="1"/>
  <c r="R21" i="832" s="1"/>
  <c r="R22" i="832" s="1"/>
  <c r="R23" i="832" s="1"/>
  <c r="R24" i="832" s="1"/>
  <c r="R25" i="832" s="1"/>
  <c r="R26" i="832" s="1"/>
  <c r="R27" i="832" s="1"/>
  <c r="R28" i="832" s="1"/>
  <c r="R29" i="832" s="1"/>
  <c r="R30" i="832" s="1"/>
  <c r="R31" i="832" s="1"/>
  <c r="R32" i="832" s="1"/>
  <c r="R33" i="832" s="1"/>
  <c r="R34" i="832" s="1"/>
  <c r="R35" i="832" s="1"/>
  <c r="R36" i="832" s="1"/>
  <c r="R37" i="832" s="1"/>
  <c r="R38" i="832" s="1"/>
  <c r="T35" i="827" l="1"/>
  <c r="T36" i="827" s="1"/>
  <c r="F31" i="827"/>
  <c r="H31" i="827" s="1"/>
  <c r="F30" i="827"/>
  <c r="H30" i="827" s="1"/>
  <c r="E30" i="827"/>
  <c r="B30" i="827"/>
  <c r="B31" i="827" s="1"/>
  <c r="C29" i="827"/>
  <c r="D29" i="827" s="1"/>
  <c r="C28" i="827"/>
  <c r="D28" i="827" s="1"/>
  <c r="W27" i="827"/>
  <c r="C27" i="827"/>
  <c r="D27" i="827" s="1"/>
  <c r="C26" i="827"/>
  <c r="D26" i="827" s="1"/>
  <c r="C25" i="827"/>
  <c r="D25" i="827" s="1"/>
  <c r="C24" i="827"/>
  <c r="D24" i="827" s="1"/>
  <c r="C23" i="827"/>
  <c r="D23" i="827" s="1"/>
  <c r="C22" i="827"/>
  <c r="D22" i="827" s="1"/>
  <c r="C21" i="827"/>
  <c r="D21" i="827" s="1"/>
  <c r="W20" i="827"/>
  <c r="C20" i="827"/>
  <c r="D20" i="827" s="1"/>
  <c r="C19" i="827"/>
  <c r="D19" i="827" s="1"/>
  <c r="C18" i="827"/>
  <c r="D18" i="827" s="1"/>
  <c r="C17" i="827"/>
  <c r="D17" i="827" s="1"/>
  <c r="C16" i="827"/>
  <c r="D16" i="827" s="1"/>
  <c r="T15" i="827"/>
  <c r="T20" i="827" s="1"/>
  <c r="I15" i="827"/>
  <c r="C15" i="827"/>
  <c r="D15" i="827" s="1"/>
  <c r="C14" i="827"/>
  <c r="D14" i="827" s="1"/>
  <c r="C13" i="827"/>
  <c r="D13" i="827" s="1"/>
  <c r="C12" i="827"/>
  <c r="D12" i="827" s="1"/>
  <c r="C11" i="827"/>
  <c r="D11" i="827" s="1"/>
  <c r="C10" i="827"/>
  <c r="D10" i="827" s="1"/>
  <c r="K9" i="827"/>
  <c r="J9" i="827"/>
  <c r="I9" i="827"/>
  <c r="C9" i="827"/>
  <c r="D9" i="827" s="1"/>
  <c r="K8" i="827"/>
  <c r="J8" i="827"/>
  <c r="I8" i="827"/>
  <c r="C8" i="827"/>
  <c r="D8" i="827" s="1"/>
  <c r="K7" i="827"/>
  <c r="J7" i="827"/>
  <c r="I7" i="827"/>
  <c r="C7" i="827"/>
  <c r="D7" i="827" s="1"/>
  <c r="K6" i="827"/>
  <c r="J6" i="827"/>
  <c r="I6" i="827"/>
  <c r="C6" i="827"/>
  <c r="G5" i="827"/>
  <c r="G3" i="827"/>
  <c r="S68" i="826"/>
  <c r="S62" i="826"/>
  <c r="W59" i="826"/>
  <c r="X55" i="826"/>
  <c r="X50" i="826"/>
  <c r="S50" i="826"/>
  <c r="X49" i="826"/>
  <c r="S44" i="826"/>
  <c r="F31" i="826"/>
  <c r="H31" i="826" s="1"/>
  <c r="AB30" i="826"/>
  <c r="F30" i="826"/>
  <c r="H30" i="826" s="1"/>
  <c r="E30" i="826"/>
  <c r="AB29" i="826"/>
  <c r="C29" i="826"/>
  <c r="D29" i="826" s="1"/>
  <c r="AD28" i="826"/>
  <c r="V28" i="826"/>
  <c r="C28" i="826"/>
  <c r="D28" i="826" s="1"/>
  <c r="C27" i="826"/>
  <c r="D27" i="826" s="1"/>
  <c r="Y26" i="826"/>
  <c r="V26" i="826"/>
  <c r="C26" i="826"/>
  <c r="D26" i="826" s="1"/>
  <c r="C25" i="826"/>
  <c r="D25" i="826" s="1"/>
  <c r="C24" i="826"/>
  <c r="D24" i="826" s="1"/>
  <c r="C23" i="826"/>
  <c r="D23" i="826" s="1"/>
  <c r="AD22" i="826"/>
  <c r="AB22" i="826"/>
  <c r="V22" i="826"/>
  <c r="C22" i="826"/>
  <c r="D22" i="826" s="1"/>
  <c r="AK21" i="826"/>
  <c r="C21" i="826"/>
  <c r="D21" i="826" s="1"/>
  <c r="C20" i="826"/>
  <c r="D20" i="826" s="1"/>
  <c r="C19" i="826"/>
  <c r="D19" i="826" s="1"/>
  <c r="AD18" i="826"/>
  <c r="V18" i="826"/>
  <c r="C18" i="826"/>
  <c r="D18" i="826" s="1"/>
  <c r="Y17" i="826"/>
  <c r="Y28" i="826" s="1"/>
  <c r="C17" i="826"/>
  <c r="D17" i="826" s="1"/>
  <c r="C16" i="826"/>
  <c r="D16" i="826" s="1"/>
  <c r="S15" i="826"/>
  <c r="C15" i="826"/>
  <c r="D15" i="826" s="1"/>
  <c r="I14" i="826"/>
  <c r="C14" i="826"/>
  <c r="D14" i="826" s="1"/>
  <c r="S13" i="826"/>
  <c r="C13" i="826"/>
  <c r="D13" i="826" s="1"/>
  <c r="S12" i="826"/>
  <c r="C12" i="826"/>
  <c r="D12" i="826" s="1"/>
  <c r="C11" i="826"/>
  <c r="D11" i="826" s="1"/>
  <c r="C10" i="826"/>
  <c r="D10" i="826" s="1"/>
  <c r="K9" i="826"/>
  <c r="J9" i="826"/>
  <c r="I9" i="826"/>
  <c r="C9" i="826"/>
  <c r="D9" i="826" s="1"/>
  <c r="X8" i="826"/>
  <c r="W8" i="826"/>
  <c r="T8" i="826"/>
  <c r="U8" i="826" s="1"/>
  <c r="S8" i="826"/>
  <c r="S9" i="826" s="1"/>
  <c r="K8" i="826"/>
  <c r="J8" i="826"/>
  <c r="I8" i="826"/>
  <c r="C8" i="826"/>
  <c r="D8" i="826" s="1"/>
  <c r="T7" i="826"/>
  <c r="K7" i="826"/>
  <c r="J7" i="826"/>
  <c r="I7" i="826"/>
  <c r="C7" i="826"/>
  <c r="D7" i="826" s="1"/>
  <c r="K6" i="826"/>
  <c r="J6" i="826"/>
  <c r="I6" i="826"/>
  <c r="B6" i="826"/>
  <c r="B30" i="826" s="1"/>
  <c r="B31" i="826" s="1"/>
  <c r="AA5" i="826"/>
  <c r="AA7" i="826" s="1"/>
  <c r="W5" i="826"/>
  <c r="G5" i="826"/>
  <c r="G3" i="826"/>
  <c r="M2" i="826"/>
  <c r="V30" i="826" l="1"/>
  <c r="S70" i="826"/>
  <c r="C31" i="827"/>
  <c r="P5" i="827" s="1"/>
  <c r="P6" i="827" s="1"/>
  <c r="D6" i="827"/>
  <c r="W29" i="827"/>
  <c r="C30" i="827"/>
  <c r="T16" i="827"/>
  <c r="T27" i="827"/>
  <c r="AD30" i="826"/>
  <c r="S52" i="826"/>
  <c r="X57" i="826"/>
  <c r="C6" i="826"/>
  <c r="S16" i="826"/>
  <c r="S30" i="826" s="1"/>
  <c r="Y18" i="826"/>
  <c r="Y22" i="826"/>
  <c r="T29" i="827" l="1"/>
  <c r="Y30" i="826"/>
  <c r="M3" i="827"/>
  <c r="M4" i="827" s="1"/>
  <c r="P8" i="827" s="1"/>
  <c r="P11" i="827" s="1"/>
  <c r="P14" i="827" s="1"/>
  <c r="P15" i="827" s="1"/>
  <c r="P16" i="827" s="1"/>
  <c r="P17" i="827" s="1"/>
  <c r="P18" i="827" s="1"/>
  <c r="P19" i="827" s="1"/>
  <c r="P20" i="827" s="1"/>
  <c r="P21" i="827" s="1"/>
  <c r="P22" i="827" s="1"/>
  <c r="P23" i="827" s="1"/>
  <c r="P24" i="827" s="1"/>
  <c r="P25" i="827" s="1"/>
  <c r="P26" i="827" s="1"/>
  <c r="P27" i="827" s="1"/>
  <c r="P28" i="827" s="1"/>
  <c r="P29" i="827" s="1"/>
  <c r="P30" i="827" s="1"/>
  <c r="P31" i="827" s="1"/>
  <c r="P32" i="827" s="1"/>
  <c r="P33" i="827" s="1"/>
  <c r="P34" i="827" s="1"/>
  <c r="P35" i="827" s="1"/>
  <c r="P36" i="827" s="1"/>
  <c r="P37" i="827" s="1"/>
  <c r="P38" i="827" s="1"/>
  <c r="D30" i="827"/>
  <c r="C31" i="826"/>
  <c r="P5" i="826" s="1"/>
  <c r="P6" i="826" s="1"/>
  <c r="C30" i="826"/>
  <c r="D6" i="826"/>
  <c r="S28" i="826"/>
  <c r="D30" i="826" l="1"/>
  <c r="M3" i="826"/>
  <c r="P8" i="826" l="1"/>
  <c r="P11" i="826" s="1"/>
  <c r="P14" i="826" s="1"/>
  <c r="P15" i="826" s="1"/>
  <c r="P16" i="826" s="1"/>
  <c r="P17" i="826" s="1"/>
  <c r="P18" i="826" s="1"/>
  <c r="P19" i="826" s="1"/>
  <c r="P20" i="826" s="1"/>
  <c r="P21" i="826" s="1"/>
  <c r="P22" i="826" s="1"/>
  <c r="P23" i="826" s="1"/>
  <c r="P24" i="826" s="1"/>
  <c r="P25" i="826" s="1"/>
  <c r="P26" i="826" s="1"/>
  <c r="P27" i="826" s="1"/>
  <c r="P28" i="826" s="1"/>
  <c r="P29" i="826" s="1"/>
  <c r="P30" i="826" s="1"/>
  <c r="P31" i="826" s="1"/>
  <c r="P32" i="826" s="1"/>
  <c r="P33" i="826" s="1"/>
  <c r="P34" i="826" s="1"/>
  <c r="P35" i="826" s="1"/>
  <c r="P36" i="826" s="1"/>
  <c r="P37" i="826" s="1"/>
  <c r="P38" i="826" s="1"/>
  <c r="M4" i="826"/>
  <c r="X8" i="617" l="1"/>
  <c r="Y17" i="617"/>
  <c r="Y28" i="617" s="1"/>
  <c r="Y26" i="617"/>
  <c r="V26" i="617"/>
  <c r="S15" i="617"/>
  <c r="Y22" i="617" l="1"/>
  <c r="Y18" i="617"/>
  <c r="S16" i="617" l="1"/>
  <c r="S28" i="617" s="1"/>
  <c r="S68" i="617" l="1"/>
  <c r="S62" i="617"/>
  <c r="W59" i="617"/>
  <c r="X55" i="617"/>
  <c r="X50" i="617"/>
  <c r="S50" i="617"/>
  <c r="X49" i="617"/>
  <c r="S44" i="617"/>
  <c r="F31" i="617"/>
  <c r="H31" i="617" s="1"/>
  <c r="AB30" i="617"/>
  <c r="S30" i="617"/>
  <c r="F30" i="617"/>
  <c r="H30" i="617" s="1"/>
  <c r="E30" i="617"/>
  <c r="AB29" i="617"/>
  <c r="C29" i="617"/>
  <c r="D29" i="617" s="1"/>
  <c r="AD28" i="617"/>
  <c r="V28" i="617"/>
  <c r="C28" i="617"/>
  <c r="D28" i="617" s="1"/>
  <c r="C27" i="617"/>
  <c r="D27" i="617" s="1"/>
  <c r="C26" i="617"/>
  <c r="D26" i="617" s="1"/>
  <c r="C25" i="617"/>
  <c r="D25" i="617" s="1"/>
  <c r="C24" i="617"/>
  <c r="D24" i="617" s="1"/>
  <c r="C23" i="617"/>
  <c r="D23" i="617" s="1"/>
  <c r="AD22" i="617"/>
  <c r="AB22" i="617"/>
  <c r="V22" i="617"/>
  <c r="C22" i="617"/>
  <c r="D22" i="617" s="1"/>
  <c r="AK21" i="617"/>
  <c r="C21" i="617"/>
  <c r="D21" i="617" s="1"/>
  <c r="C20" i="617"/>
  <c r="D20" i="617" s="1"/>
  <c r="C19" i="617"/>
  <c r="D19" i="617" s="1"/>
  <c r="AD18" i="617"/>
  <c r="V18" i="617"/>
  <c r="C18" i="617"/>
  <c r="D18" i="617" s="1"/>
  <c r="C17" i="617"/>
  <c r="D17" i="617" s="1"/>
  <c r="C16" i="617"/>
  <c r="D16" i="617" s="1"/>
  <c r="C15" i="617"/>
  <c r="D15" i="617" s="1"/>
  <c r="I14" i="617"/>
  <c r="C14" i="617"/>
  <c r="D14" i="617" s="1"/>
  <c r="S13" i="617"/>
  <c r="C13" i="617"/>
  <c r="D13" i="617" s="1"/>
  <c r="S12" i="617"/>
  <c r="C12" i="617"/>
  <c r="D12" i="617" s="1"/>
  <c r="C11" i="617"/>
  <c r="D11" i="617" s="1"/>
  <c r="C10" i="617"/>
  <c r="D10" i="617" s="1"/>
  <c r="K9" i="617"/>
  <c r="J9" i="617"/>
  <c r="I9" i="617"/>
  <c r="C9" i="617"/>
  <c r="D9" i="617" s="1"/>
  <c r="W8" i="617"/>
  <c r="T8" i="617"/>
  <c r="U8" i="617" s="1"/>
  <c r="S8" i="617"/>
  <c r="S9" i="617" s="1"/>
  <c r="K8" i="617"/>
  <c r="J8" i="617"/>
  <c r="I8" i="617"/>
  <c r="C8" i="617"/>
  <c r="D8" i="617" s="1"/>
  <c r="T7" i="617"/>
  <c r="K7" i="617"/>
  <c r="J7" i="617"/>
  <c r="I7" i="617"/>
  <c r="C7" i="617"/>
  <c r="D7" i="617" s="1"/>
  <c r="K6" i="617"/>
  <c r="J6" i="617"/>
  <c r="I6" i="617"/>
  <c r="B6" i="617"/>
  <c r="B30" i="617" s="1"/>
  <c r="B31" i="617" s="1"/>
  <c r="AA5" i="617"/>
  <c r="AA7" i="617" s="1"/>
  <c r="W5" i="617"/>
  <c r="G5" i="617"/>
  <c r="G3" i="617"/>
  <c r="M2" i="617"/>
  <c r="S70" i="617" l="1"/>
  <c r="X57" i="617"/>
  <c r="Y30" i="617"/>
  <c r="AD30" i="617"/>
  <c r="S52" i="617"/>
  <c r="V30" i="617"/>
  <c r="C6" i="617"/>
  <c r="C31" i="617" l="1"/>
  <c r="P5" i="617" s="1"/>
  <c r="P6" i="617" s="1"/>
  <c r="C30" i="617"/>
  <c r="D6" i="617"/>
  <c r="M3" i="617" l="1"/>
  <c r="P8" i="617" s="1"/>
  <c r="D30" i="617"/>
  <c r="P11" i="617" l="1"/>
  <c r="P14" i="617" s="1"/>
  <c r="P15" i="617" s="1"/>
  <c r="P16" i="617" s="1"/>
  <c r="P17" i="617" s="1"/>
  <c r="P18" i="617" s="1"/>
  <c r="P19" i="617" s="1"/>
  <c r="P20" i="617" s="1"/>
  <c r="P21" i="617" s="1"/>
  <c r="P22" i="617" s="1"/>
  <c r="P23" i="617" s="1"/>
  <c r="P24" i="617" s="1"/>
  <c r="P25" i="617" s="1"/>
  <c r="P26" i="617" s="1"/>
  <c r="P27" i="617" s="1"/>
  <c r="P28" i="617" s="1"/>
  <c r="P29" i="617" s="1"/>
  <c r="P30" i="617" s="1"/>
  <c r="P31" i="617" s="1"/>
  <c r="P32" i="617" s="1"/>
  <c r="P33" i="617" s="1"/>
  <c r="P34" i="617" s="1"/>
  <c r="P35" i="617" s="1"/>
  <c r="P36" i="617" s="1"/>
  <c r="P37" i="617" s="1"/>
  <c r="P38" i="617" s="1"/>
  <c r="M4" i="617"/>
  <c r="T15" i="11" l="1"/>
  <c r="T16" i="11" s="1"/>
  <c r="T35" i="11" l="1"/>
  <c r="T36" i="11" s="1"/>
  <c r="F31" i="11" l="1"/>
  <c r="H31" i="11" s="1"/>
  <c r="F30" i="11"/>
  <c r="H30" i="11" s="1"/>
  <c r="E30" i="11"/>
  <c r="B30" i="11"/>
  <c r="B31" i="11" s="1"/>
  <c r="C29" i="11"/>
  <c r="D29" i="11" s="1"/>
  <c r="C28" i="11"/>
  <c r="D28" i="11" s="1"/>
  <c r="W27" i="11"/>
  <c r="T27" i="11"/>
  <c r="C27" i="11"/>
  <c r="D27" i="11" s="1"/>
  <c r="C26" i="11"/>
  <c r="D26" i="11" s="1"/>
  <c r="C25" i="11"/>
  <c r="D25" i="11" s="1"/>
  <c r="C24" i="11"/>
  <c r="D24" i="11" s="1"/>
  <c r="C23" i="11"/>
  <c r="D23" i="11" s="1"/>
  <c r="C22" i="11"/>
  <c r="D22" i="11" s="1"/>
  <c r="C21" i="11"/>
  <c r="D21" i="11" s="1"/>
  <c r="W20" i="11"/>
  <c r="T20" i="11"/>
  <c r="C20" i="11"/>
  <c r="D20" i="11" s="1"/>
  <c r="C19" i="11"/>
  <c r="D19" i="11" s="1"/>
  <c r="C18" i="11"/>
  <c r="D18" i="11" s="1"/>
  <c r="C17" i="11"/>
  <c r="D17" i="11" s="1"/>
  <c r="C16" i="11"/>
  <c r="D16" i="11" s="1"/>
  <c r="I15" i="11"/>
  <c r="C15" i="11"/>
  <c r="D15" i="11" s="1"/>
  <c r="C14" i="11"/>
  <c r="D14" i="11" s="1"/>
  <c r="C13" i="11"/>
  <c r="D13" i="11" s="1"/>
  <c r="C12" i="11"/>
  <c r="D12" i="11" s="1"/>
  <c r="C11" i="11"/>
  <c r="D11" i="11" s="1"/>
  <c r="C10" i="11"/>
  <c r="D10" i="11" s="1"/>
  <c r="K9" i="11"/>
  <c r="J9" i="11"/>
  <c r="I9" i="11"/>
  <c r="C9" i="11"/>
  <c r="D9" i="11" s="1"/>
  <c r="K8" i="11"/>
  <c r="J8" i="11"/>
  <c r="I8" i="11"/>
  <c r="C8" i="11"/>
  <c r="D8" i="11" s="1"/>
  <c r="K7" i="11"/>
  <c r="J7" i="11"/>
  <c r="I7" i="11"/>
  <c r="C7" i="11"/>
  <c r="K6" i="11"/>
  <c r="J6" i="11"/>
  <c r="I6" i="11"/>
  <c r="C6" i="11"/>
  <c r="D6" i="11" s="1"/>
  <c r="G5" i="11"/>
  <c r="G3" i="11"/>
  <c r="T29" i="11" l="1"/>
  <c r="W29" i="11"/>
  <c r="C30" i="11"/>
  <c r="D30" i="11" s="1"/>
  <c r="C31" i="11"/>
  <c r="P5" i="11" s="1"/>
  <c r="P6" i="11" s="1"/>
  <c r="D7" i="11"/>
  <c r="M3" i="11" l="1"/>
  <c r="M4" i="11" s="1"/>
  <c r="P8" i="11" s="1"/>
  <c r="P11" i="11" s="1"/>
  <c r="P14" i="11" s="1"/>
  <c r="P15" i="11" s="1"/>
  <c r="P16" i="11" s="1"/>
  <c r="P17" i="11" s="1"/>
  <c r="P18" i="11" s="1"/>
  <c r="P19" i="11" s="1"/>
  <c r="P20" i="11" s="1"/>
  <c r="P21" i="11" s="1"/>
  <c r="P22" i="11" s="1"/>
  <c r="P23" i="11" s="1"/>
  <c r="P24" i="11" s="1"/>
  <c r="P25" i="11" s="1"/>
  <c r="P26" i="11" s="1"/>
  <c r="P27" i="11" s="1"/>
  <c r="P28" i="11" s="1"/>
  <c r="P29" i="11" s="1"/>
  <c r="P30" i="11" s="1"/>
  <c r="P31" i="11" s="1"/>
  <c r="P32" i="11" s="1"/>
  <c r="P33" i="11" s="1"/>
  <c r="P34" i="11" s="1"/>
  <c r="P35" i="11" s="1"/>
  <c r="P36" i="11" s="1"/>
  <c r="P37" i="11" s="1"/>
  <c r="P38" i="11" s="1"/>
  <c r="A28" i="1811" l="1"/>
  <c r="C14" i="1811" s="1"/>
</calcChain>
</file>

<file path=xl/sharedStrings.xml><?xml version="1.0" encoding="utf-8"?>
<sst xmlns="http://schemas.openxmlformats.org/spreadsheetml/2006/main" count="1834" uniqueCount="162">
  <si>
    <t>Name:</t>
  </si>
  <si>
    <t>Appt:</t>
  </si>
  <si>
    <t>Hire Date</t>
  </si>
  <si>
    <t xml:space="preserve">Whichever is the less </t>
  </si>
  <si>
    <t>No:</t>
  </si>
  <si>
    <t>Birthdate</t>
  </si>
  <si>
    <t>Date</t>
  </si>
  <si>
    <t>Salary</t>
  </si>
  <si>
    <t>EE RA</t>
  </si>
  <si>
    <t>ER RA</t>
  </si>
  <si>
    <t>SRA - 403b</t>
  </si>
  <si>
    <t>Annual Salary:</t>
  </si>
  <si>
    <t>Adjusted SRA</t>
  </si>
  <si>
    <t>Maximum SRA</t>
  </si>
  <si>
    <t>15 year provision (1 of 5)</t>
  </si>
  <si>
    <t>DD/MM/YY</t>
  </si>
  <si>
    <t>$</t>
  </si>
  <si>
    <t>Monthly Salary</t>
  </si>
  <si>
    <t>$20.5K or $15.5K</t>
  </si>
  <si>
    <t>$45K</t>
  </si>
  <si>
    <t>Age 50 catchup</t>
  </si>
  <si>
    <t>A</t>
  </si>
  <si>
    <t>B</t>
  </si>
  <si>
    <t>C = B/2*0.10</t>
  </si>
  <si>
    <t>D = C</t>
  </si>
  <si>
    <t>E</t>
  </si>
  <si>
    <t>Paycyle Salary</t>
  </si>
  <si>
    <t>I</t>
  </si>
  <si>
    <t>J</t>
  </si>
  <si>
    <t>2.5% Vol RA</t>
  </si>
  <si>
    <t>Maximum to SRA</t>
  </si>
  <si>
    <t>Lesser of P5 or P9</t>
  </si>
  <si>
    <t xml:space="preserve"> </t>
  </si>
  <si>
    <t>Total</t>
  </si>
  <si>
    <t>Max Total</t>
  </si>
  <si>
    <t>Difference</t>
  </si>
  <si>
    <t>Year 2010</t>
  </si>
  <si>
    <t>F=C+D+E</t>
  </si>
  <si>
    <t>G</t>
  </si>
  <si>
    <t>H = G - F</t>
  </si>
  <si>
    <t>Year 2011</t>
  </si>
  <si>
    <t>Total*0.25</t>
  </si>
  <si>
    <t xml:space="preserve">Add'l amount that c/b contr.  to VIP = </t>
  </si>
  <si>
    <t>Annual Comp Limit</t>
  </si>
  <si>
    <t>Amount left to SRA</t>
  </si>
  <si>
    <t>OR</t>
  </si>
  <si>
    <t>C = B/2*0.075</t>
  </si>
  <si>
    <t>Susmita Bose</t>
  </si>
  <si>
    <t>C = B/2*0..05</t>
  </si>
  <si>
    <t>9 mth, usually works summer</t>
  </si>
  <si>
    <t>V. Manoranjan</t>
  </si>
  <si>
    <t>Emile "Mel" Netzhammer</t>
  </si>
  <si>
    <t>WSURP</t>
  </si>
  <si>
    <t>DCP</t>
  </si>
  <si>
    <t>OASI</t>
  </si>
  <si>
    <t>Medical Aid</t>
  </si>
  <si>
    <t>LTD</t>
  </si>
  <si>
    <t>Life</t>
  </si>
  <si>
    <t>Combined Giving</t>
  </si>
  <si>
    <t>Medicare</t>
  </si>
  <si>
    <t>Anne LaFrance</t>
  </si>
  <si>
    <t>Max request on file, 6/2015</t>
  </si>
  <si>
    <t>VIP</t>
  </si>
  <si>
    <t>HAS</t>
  </si>
  <si>
    <t>UMP CDHP</t>
  </si>
  <si>
    <t>Gail Casper</t>
  </si>
  <si>
    <t>If all VIP was pre-tax</t>
  </si>
  <si>
    <t>85% Roth, 15% pre-tax</t>
  </si>
  <si>
    <t>FIT</t>
  </si>
  <si>
    <t>This was the most her salary could carry for 2015</t>
  </si>
  <si>
    <t>WSECU</t>
  </si>
  <si>
    <t>VEBA</t>
  </si>
  <si>
    <t>Add'l FIT</t>
  </si>
  <si>
    <t>Parking</t>
  </si>
  <si>
    <t>SRC</t>
  </si>
  <si>
    <t>Medical Premium</t>
  </si>
  <si>
    <t>Social security taxes are taken from the Gross - tax deferred contributions, except retirement</t>
  </si>
  <si>
    <t>FSA</t>
  </si>
  <si>
    <t>Bandyopadhyay, Amit</t>
  </si>
  <si>
    <t>Ding, Jow-Lian</t>
  </si>
  <si>
    <t>Donald Bender</t>
  </si>
  <si>
    <t>PERS 2</t>
  </si>
  <si>
    <t>Lloyd Smith</t>
  </si>
  <si>
    <t>Noel Schulz</t>
  </si>
  <si>
    <t>Retirement</t>
  </si>
  <si>
    <t>Medical</t>
  </si>
  <si>
    <t xml:space="preserve">Retirment </t>
  </si>
  <si>
    <t>ALP</t>
  </si>
  <si>
    <t>Payout</t>
  </si>
  <si>
    <t>Essentially you are correct, but we have to tax the gross as well. I calculate it a different way, the payout minus the retirement contributions is the gross that gets taxed, (35000-31515)= 3485.00 to be taxed at 25% = 871.25</t>
  </si>
  <si>
    <t xml:space="preserve">We then subtract all the deductions to make sure we get a positive net. Hard to explain over email, but hopefully I make sense! </t>
  </si>
  <si>
    <t>Per Mayra - 9/19/17</t>
  </si>
  <si>
    <t xml:space="preserve">For Settlements and Payouts: </t>
  </si>
  <si>
    <t>18.5K or 24.5K only</t>
  </si>
  <si>
    <t>Faculty</t>
  </si>
  <si>
    <t>Ethridge, Kami (Mary C)</t>
  </si>
  <si>
    <t>Annual Compensation Limit (401(a)(17)) = $285,000</t>
  </si>
  <si>
    <t>Elective contribution limits (402(g) and catch-up limits 414(v)) = $19,500</t>
  </si>
  <si>
    <t>Maximum EE and ER contriubtions (415(c)(1)(A) = $57,000</t>
  </si>
  <si>
    <t>DCP - 457b</t>
  </si>
  <si>
    <t>If above reaches $56K, they can still</t>
  </si>
  <si>
    <t>56K limit left for SRA amt</t>
  </si>
  <si>
    <t xml:space="preserve">56K 415 limit </t>
  </si>
  <si>
    <t>PFML</t>
  </si>
  <si>
    <t>Liberty Mutual</t>
  </si>
  <si>
    <t>Age 50 catch up = $6500</t>
  </si>
  <si>
    <t>Shock Physics</t>
  </si>
  <si>
    <t>do the $6500 catchup into VIP</t>
  </si>
  <si>
    <t>Judith McDonald</t>
  </si>
  <si>
    <t>Annual Compensation Limit (401(a)(17)) = $290,000</t>
  </si>
  <si>
    <t>If above reaches $57K, they can still</t>
  </si>
  <si>
    <t>Kendra</t>
  </si>
  <si>
    <t>Maximum EE and ER contriubtions (415(c)(1)(A) = $58,000</t>
  </si>
  <si>
    <t>Jill McCluskey</t>
  </si>
  <si>
    <t>Yijun He</t>
  </si>
  <si>
    <t>489-08-9440</t>
  </si>
  <si>
    <t>If above reaches $58K, they can still</t>
  </si>
  <si>
    <t>C = B/2*0.025</t>
  </si>
  <si>
    <t>E=C+D</t>
  </si>
  <si>
    <t>7.5% Diff</t>
  </si>
  <si>
    <t>2.5% Diff</t>
  </si>
  <si>
    <t xml:space="preserve">Older cases that may need to be checked too. </t>
  </si>
  <si>
    <t>403b - Roth</t>
  </si>
  <si>
    <t>elhamm</t>
  </si>
  <si>
    <t>Michael Jordan</t>
  </si>
  <si>
    <t xml:space="preserve">ER portion owed. </t>
  </si>
  <si>
    <t>C = B*0.075</t>
  </si>
  <si>
    <t>C = B*0.025</t>
  </si>
  <si>
    <t xml:space="preserve">Difference </t>
  </si>
  <si>
    <t>Hergen Eilers</t>
  </si>
  <si>
    <t xml:space="preserve">Double check -- Not sure this is correct? </t>
  </si>
  <si>
    <t>C = B*0.05</t>
  </si>
  <si>
    <t>dd</t>
  </si>
  <si>
    <t>Cortney Franklin</t>
  </si>
  <si>
    <t xml:space="preserve">Not sure why an additional refund was issued? </t>
  </si>
  <si>
    <t>Oscar Flores</t>
  </si>
  <si>
    <t>Duncan Thomas</t>
  </si>
  <si>
    <t>120.60</t>
  </si>
  <si>
    <t>What shb</t>
  </si>
  <si>
    <t>collected</t>
  </si>
  <si>
    <t>What  shb</t>
  </si>
  <si>
    <t xml:space="preserve">10/10 - subtracted ALP from total gross. </t>
  </si>
  <si>
    <t>June Sanders</t>
  </si>
  <si>
    <t>$130.47-credited on 10/25 check as WSURP 2.5%</t>
  </si>
  <si>
    <t>Two payslips, one for hourly pay-both took WSURP deductions</t>
  </si>
  <si>
    <t>Anticipated Annual Salary</t>
  </si>
  <si>
    <t>Remaining amount that can be contributed to VIP for rest of year</t>
  </si>
  <si>
    <t>*No. of pay periods left in the year</t>
  </si>
  <si>
    <t>Maximum $$ contribution for remainder of year</t>
  </si>
  <si>
    <t xml:space="preserve">VIP YTD Contribution as of paycheck dated </t>
  </si>
  <si>
    <t>Enter the following information:</t>
  </si>
  <si>
    <t>VIP YTD Contribution as of your last paycheck</t>
  </si>
  <si>
    <t>*No of pay period left in the year</t>
  </si>
  <si>
    <t>Maximum VIP Employee only contributions allowed for the year</t>
  </si>
  <si>
    <t>* Indivdiuals on less than a 12 month appointments, enter the number of paychecks left during your regular appointment, as well as any possible paychecks you will receive over your appointment break.</t>
  </si>
  <si>
    <t xml:space="preserve">Visit the WSU/TIAA Payroll Calendar to identify the submission deadlines: https://www.tiaa.org/public/pdf/washington-state-university-payroll-calendar.pdf  </t>
  </si>
  <si>
    <t xml:space="preserve">The following portion will be hid once this is posted on the website as a resource. </t>
  </si>
  <si>
    <t>Maximum per paycheck dollar contribution allowed for remainder of year</t>
  </si>
  <si>
    <t>Anticipated 2025 Annual Salary</t>
  </si>
  <si>
    <t>Age 60-63 Catch-Up Contribution</t>
  </si>
  <si>
    <t>VIP Calculator for DRS plan participants, age 60-63</t>
  </si>
  <si>
    <t xml:space="preserve">The 2025 voluntary contribution IRS limit is $23,500, with those who are age 60-63 or more being able to contribute an additional $11.250 as the Catch-Up Contribution. (402(g), and 414(v))
Other IRS limits that may impact the maximum VIP contribution include for WSURP participants:
   - Maximum employee and employer contributions to any 403b plan cannot exceed $70,000  (415(c))
   - Annual Compensation Limit from which WSURP contributions can be collected is $350,000 (401(1))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</si>
</sst>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mmmm\ d\,\ yyyy;@"/>
    <numFmt numFmtId="165" formatCode="000\-00\-0000"/>
    <numFmt numFmtId="166" formatCode="0.00000"/>
    <numFmt numFmtId="167" formatCode="0.000"/>
    <numFmt numFmtId="168" formatCode="#,##0.00;\(#,##0.00\)"/>
    <numFmt numFmtId="169" formatCode="&quot;$&quot;#,##0.00"/>
  </numFmts>
  <fonts count="5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48"/>
      <name val="Arial"/>
      <family val="2"/>
    </font>
    <font>
      <b/>
      <sz val="10"/>
      <color rgb="FF3366FF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i/>
      <sz val="10"/>
      <name val="Arial"/>
      <family val="2"/>
    </font>
    <font>
      <sz val="10"/>
      <color theme="0" tint="-0.14999847407452621"/>
      <name val="Arial"/>
      <family val="2"/>
    </font>
    <font>
      <sz val="10"/>
      <color theme="0" tint="-4.9989318521683403E-2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249977111117893"/>
      <name val="Arial"/>
      <family val="2"/>
    </font>
    <font>
      <b/>
      <u/>
      <sz val="10"/>
      <color theme="0" tint="-0.249977111117893"/>
      <name val="Arial"/>
      <family val="2"/>
    </font>
    <font>
      <sz val="10"/>
      <color theme="0" tint="-0.34998626667073579"/>
      <name val="Arial"/>
      <family val="2"/>
    </font>
    <font>
      <sz val="11"/>
      <color theme="1"/>
      <name val="StoneSans"/>
      <family val="2"/>
    </font>
    <font>
      <b/>
      <sz val="10"/>
      <color rgb="FF0000FF"/>
      <name val="Arial"/>
      <family val="2"/>
    </font>
    <font>
      <b/>
      <sz val="9"/>
      <color rgb="FFCC0099"/>
      <name val="Arial"/>
      <family val="2"/>
    </font>
    <font>
      <b/>
      <sz val="8"/>
      <color rgb="FFCC0099"/>
      <name val="Arial"/>
      <family val="2"/>
    </font>
    <font>
      <b/>
      <sz val="8"/>
      <color rgb="FFFF00FF"/>
      <name val="Arial"/>
      <family val="2"/>
    </font>
    <font>
      <sz val="8"/>
      <color rgb="FFFF00FF"/>
      <name val="Arial"/>
      <family val="2"/>
    </font>
    <font>
      <i/>
      <sz val="8"/>
      <color rgb="FFFF00FF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8" tint="-0.249977111117893"/>
      <name val="Arial"/>
      <family val="2"/>
    </font>
    <font>
      <b/>
      <sz val="11"/>
      <color theme="8" tint="-0.249977111117893"/>
      <name val="Calibri"/>
      <family val="2"/>
      <scheme val="minor"/>
    </font>
    <font>
      <sz val="10"/>
      <color theme="1"/>
      <name val="Arial"/>
      <family val="2"/>
    </font>
    <font>
      <sz val="11"/>
      <color rgb="FF1F497D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9"/>
      <color rgb="FF4A4A4A"/>
      <name val="Arial"/>
      <family val="2"/>
    </font>
    <font>
      <sz val="11"/>
      <color theme="0" tint="-0.249977111117893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3366FF"/>
      <name val="Calibri"/>
      <family val="2"/>
    </font>
    <font>
      <sz val="11"/>
      <color rgb="FF4A4A4A"/>
      <name val="Arial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0">
    <xf numFmtId="0" fontId="0" fillId="0" borderId="0"/>
    <xf numFmtId="0" fontId="1" fillId="0" borderId="0"/>
    <xf numFmtId="0" fontId="1" fillId="0" borderId="0"/>
    <xf numFmtId="0" fontId="14" fillId="0" borderId="0"/>
    <xf numFmtId="0" fontId="24" fillId="0" borderId="0"/>
    <xf numFmtId="0" fontId="26" fillId="0" borderId="0" applyNumberFormat="0" applyFill="0" applyBorder="0" applyAlignment="0" applyProtection="0"/>
    <xf numFmtId="0" fontId="27" fillId="0" borderId="30" applyNumberFormat="0" applyFill="0" applyAlignment="0" applyProtection="0"/>
    <xf numFmtId="0" fontId="28" fillId="0" borderId="31" applyNumberFormat="0" applyFill="0" applyAlignment="0" applyProtection="0"/>
    <xf numFmtId="0" fontId="2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33" applyNumberFormat="0" applyAlignment="0" applyProtection="0"/>
    <xf numFmtId="0" fontId="34" fillId="9" borderId="34" applyNumberFormat="0" applyAlignment="0" applyProtection="0"/>
    <xf numFmtId="0" fontId="35" fillId="9" borderId="33" applyNumberFormat="0" applyAlignment="0" applyProtection="0"/>
    <xf numFmtId="0" fontId="36" fillId="0" borderId="35" applyNumberFormat="0" applyFill="0" applyAlignment="0" applyProtection="0"/>
    <xf numFmtId="0" fontId="37" fillId="10" borderId="36" applyNumberFormat="0" applyAlignment="0" applyProtection="0"/>
    <xf numFmtId="0" fontId="22" fillId="0" borderId="0" applyNumberFormat="0" applyFill="0" applyBorder="0" applyAlignment="0" applyProtection="0"/>
    <xf numFmtId="0" fontId="24" fillId="11" borderId="37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38" applyNumberFormat="0" applyFill="0" applyAlignment="0" applyProtection="0"/>
    <xf numFmtId="0" fontId="40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40" fillId="35" borderId="0" applyNumberFormat="0" applyBorder="0" applyAlignment="0" applyProtection="0"/>
    <xf numFmtId="0" fontId="46" fillId="0" borderId="0" applyNumberFormat="0" applyFill="0" applyBorder="0" applyAlignment="0" applyProtection="0"/>
    <xf numFmtId="0" fontId="24" fillId="0" borderId="0"/>
    <xf numFmtId="0" fontId="1" fillId="0" borderId="0"/>
    <xf numFmtId="0" fontId="1" fillId="0" borderId="0"/>
  </cellStyleXfs>
  <cellXfs count="220">
    <xf numFmtId="0" fontId="0" fillId="0" borderId="0" xfId="0"/>
    <xf numFmtId="0" fontId="1" fillId="0" borderId="0" xfId="1" applyAlignment="1">
      <alignment horizontal="right"/>
    </xf>
    <xf numFmtId="0" fontId="3" fillId="0" borderId="1" xfId="1" applyFont="1" applyBorder="1"/>
    <xf numFmtId="0" fontId="4" fillId="0" borderId="0" xfId="1" applyFont="1"/>
    <xf numFmtId="164" fontId="5" fillId="2" borderId="0" xfId="1" applyNumberFormat="1" applyFont="1" applyFill="1"/>
    <xf numFmtId="0" fontId="1" fillId="0" borderId="0" xfId="1"/>
    <xf numFmtId="0" fontId="1" fillId="0" borderId="1" xfId="1" applyBorder="1"/>
    <xf numFmtId="0" fontId="1" fillId="0" borderId="3" xfId="1" applyBorder="1" applyAlignment="1">
      <alignment horizontal="center"/>
    </xf>
    <xf numFmtId="2" fontId="6" fillId="0" borderId="5" xfId="1" applyNumberFormat="1" applyFont="1" applyBorder="1"/>
    <xf numFmtId="0" fontId="1" fillId="0" borderId="6" xfId="1" applyBorder="1"/>
    <xf numFmtId="0" fontId="1" fillId="0" borderId="7" xfId="1" applyBorder="1"/>
    <xf numFmtId="0" fontId="1" fillId="0" borderId="4" xfId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8" xfId="1" applyBorder="1" applyAlignment="1">
      <alignment horizontal="center"/>
    </xf>
    <xf numFmtId="2" fontId="1" fillId="0" borderId="9" xfId="1" applyNumberFormat="1" applyBorder="1"/>
    <xf numFmtId="0" fontId="1" fillId="0" borderId="10" xfId="1" applyBorder="1"/>
    <xf numFmtId="0" fontId="3" fillId="0" borderId="0" xfId="1" applyFont="1"/>
    <xf numFmtId="0" fontId="1" fillId="0" borderId="8" xfId="1" applyBorder="1"/>
    <xf numFmtId="0" fontId="5" fillId="2" borderId="0" xfId="1" applyFont="1" applyFill="1"/>
    <xf numFmtId="2" fontId="1" fillId="0" borderId="11" xfId="1" applyNumberFormat="1" applyBorder="1"/>
    <xf numFmtId="0" fontId="1" fillId="0" borderId="12" xfId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6" fontId="1" fillId="0" borderId="8" xfId="1" applyNumberFormat="1" applyBorder="1"/>
    <xf numFmtId="0" fontId="2" fillId="0" borderId="8" xfId="1" applyFont="1" applyBorder="1"/>
    <xf numFmtId="2" fontId="1" fillId="0" borderId="15" xfId="1" applyNumberFormat="1" applyBorder="1"/>
    <xf numFmtId="2" fontId="1" fillId="0" borderId="8" xfId="1" applyNumberFormat="1" applyBorder="1"/>
    <xf numFmtId="0" fontId="3" fillId="0" borderId="8" xfId="1" applyFont="1" applyBorder="1"/>
    <xf numFmtId="0" fontId="2" fillId="0" borderId="0" xfId="1" applyFont="1"/>
    <xf numFmtId="0" fontId="7" fillId="0" borderId="1" xfId="1" applyFont="1" applyBorder="1"/>
    <xf numFmtId="2" fontId="7" fillId="0" borderId="8" xfId="1" applyNumberFormat="1" applyFont="1" applyBorder="1"/>
    <xf numFmtId="2" fontId="1" fillId="0" borderId="0" xfId="1" applyNumberFormat="1"/>
    <xf numFmtId="0" fontId="1" fillId="0" borderId="16" xfId="1" applyBorder="1"/>
    <xf numFmtId="2" fontId="1" fillId="0" borderId="5" xfId="1" applyNumberFormat="1" applyBorder="1"/>
    <xf numFmtId="0" fontId="1" fillId="0" borderId="17" xfId="1" applyBorder="1"/>
    <xf numFmtId="2" fontId="5" fillId="0" borderId="0" xfId="1" applyNumberFormat="1" applyFont="1"/>
    <xf numFmtId="0" fontId="5" fillId="0" borderId="0" xfId="1" applyFont="1"/>
    <xf numFmtId="0" fontId="1" fillId="0" borderId="18" xfId="1" applyBorder="1"/>
    <xf numFmtId="2" fontId="1" fillId="0" borderId="19" xfId="1" applyNumberFormat="1" applyBorder="1"/>
    <xf numFmtId="0" fontId="1" fillId="0" borderId="20" xfId="1" applyBorder="1"/>
    <xf numFmtId="0" fontId="1" fillId="0" borderId="5" xfId="1" applyBorder="1"/>
    <xf numFmtId="16" fontId="1" fillId="0" borderId="0" xfId="1" applyNumberFormat="1"/>
    <xf numFmtId="0" fontId="1" fillId="0" borderId="10" xfId="1" applyBorder="1" applyAlignment="1">
      <alignment horizontal="right"/>
    </xf>
    <xf numFmtId="16" fontId="3" fillId="0" borderId="0" xfId="1" applyNumberFormat="1" applyFont="1"/>
    <xf numFmtId="2" fontId="8" fillId="0" borderId="0" xfId="1" applyNumberFormat="1" applyFont="1"/>
    <xf numFmtId="0" fontId="8" fillId="0" borderId="0" xfId="1" applyFont="1"/>
    <xf numFmtId="0" fontId="9" fillId="0" borderId="0" xfId="1" applyFont="1"/>
    <xf numFmtId="1" fontId="8" fillId="0" borderId="0" xfId="1" applyNumberFormat="1" applyFont="1" applyAlignment="1">
      <alignment horizontal="center"/>
    </xf>
    <xf numFmtId="0" fontId="10" fillId="0" borderId="0" xfId="1" applyFont="1"/>
    <xf numFmtId="0" fontId="1" fillId="0" borderId="0" xfId="1" applyAlignment="1">
      <alignment horizontal="center"/>
    </xf>
    <xf numFmtId="0" fontId="8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2" fontId="7" fillId="0" borderId="0" xfId="1" applyNumberFormat="1" applyFont="1"/>
    <xf numFmtId="0" fontId="11" fillId="0" borderId="0" xfId="1" applyFont="1" applyAlignment="1">
      <alignment horizontal="center"/>
    </xf>
    <xf numFmtId="0" fontId="11" fillId="0" borderId="0" xfId="1" applyFont="1"/>
    <xf numFmtId="0" fontId="12" fillId="0" borderId="0" xfId="1" applyFont="1"/>
    <xf numFmtId="0" fontId="8" fillId="0" borderId="0" xfId="1" applyFont="1" applyAlignment="1">
      <alignment horizontal="center"/>
    </xf>
    <xf numFmtId="0" fontId="13" fillId="0" borderId="0" xfId="1" applyFont="1"/>
    <xf numFmtId="0" fontId="1" fillId="0" borderId="26" xfId="1" applyBorder="1" applyAlignment="1">
      <alignment horizontal="right"/>
    </xf>
    <xf numFmtId="2" fontId="1" fillId="0" borderId="23" xfId="1" applyNumberFormat="1" applyBorder="1"/>
    <xf numFmtId="2" fontId="1" fillId="0" borderId="27" xfId="1" applyNumberFormat="1" applyBorder="1"/>
    <xf numFmtId="2" fontId="8" fillId="0" borderId="23" xfId="1" applyNumberFormat="1" applyFont="1" applyBorder="1"/>
    <xf numFmtId="2" fontId="10" fillId="0" borderId="23" xfId="1" applyNumberFormat="1" applyFont="1" applyBorder="1"/>
    <xf numFmtId="0" fontId="1" fillId="0" borderId="28" xfId="1" applyBorder="1"/>
    <xf numFmtId="2" fontId="1" fillId="0" borderId="29" xfId="1" applyNumberFormat="1" applyBorder="1"/>
    <xf numFmtId="2" fontId="7" fillId="0" borderId="29" xfId="1" applyNumberFormat="1" applyFont="1" applyBorder="1"/>
    <xf numFmtId="2" fontId="8" fillId="0" borderId="29" xfId="1" applyNumberFormat="1" applyFont="1" applyBorder="1"/>
    <xf numFmtId="2" fontId="10" fillId="0" borderId="29" xfId="1" applyNumberFormat="1" applyFont="1" applyBorder="1"/>
    <xf numFmtId="16" fontId="8" fillId="0" borderId="0" xfId="1" applyNumberFormat="1" applyFont="1" applyAlignment="1">
      <alignment horizontal="left"/>
    </xf>
    <xf numFmtId="2" fontId="8" fillId="0" borderId="0" xfId="1" applyNumberFormat="1" applyFont="1" applyAlignment="1">
      <alignment horizontal="left"/>
    </xf>
    <xf numFmtId="2" fontId="13" fillId="0" borderId="0" xfId="1" applyNumberFormat="1" applyFont="1"/>
    <xf numFmtId="16" fontId="1" fillId="0" borderId="21" xfId="1" applyNumberFormat="1" applyBorder="1"/>
    <xf numFmtId="16" fontId="13" fillId="0" borderId="0" xfId="1" applyNumberFormat="1" applyFont="1"/>
    <xf numFmtId="164" fontId="15" fillId="2" borderId="0" xfId="1" applyNumberFormat="1" applyFont="1" applyFill="1"/>
    <xf numFmtId="0" fontId="16" fillId="0" borderId="6" xfId="1" applyFont="1" applyBorder="1"/>
    <xf numFmtId="0" fontId="15" fillId="2" borderId="0" xfId="1" applyFont="1" applyFill="1"/>
    <xf numFmtId="2" fontId="6" fillId="0" borderId="0" xfId="1" applyNumberFormat="1" applyFont="1"/>
    <xf numFmtId="0" fontId="6" fillId="0" borderId="0" xfId="1" applyFont="1"/>
    <xf numFmtId="2" fontId="5" fillId="0" borderId="9" xfId="1" applyNumberFormat="1" applyFont="1" applyBorder="1"/>
    <xf numFmtId="0" fontId="5" fillId="0" borderId="10" xfId="1" applyFont="1" applyBorder="1"/>
    <xf numFmtId="0" fontId="17" fillId="3" borderId="0" xfId="1" applyFont="1" applyFill="1"/>
    <xf numFmtId="0" fontId="18" fillId="3" borderId="0" xfId="1" applyFont="1" applyFill="1"/>
    <xf numFmtId="0" fontId="19" fillId="3" borderId="3" xfId="1" applyFont="1" applyFill="1" applyBorder="1"/>
    <xf numFmtId="0" fontId="19" fillId="3" borderId="4" xfId="1" applyFont="1" applyFill="1" applyBorder="1"/>
    <xf numFmtId="0" fontId="19" fillId="3" borderId="0" xfId="1" applyFont="1" applyFill="1"/>
    <xf numFmtId="2" fontId="19" fillId="3" borderId="0" xfId="1" applyNumberFormat="1" applyFont="1" applyFill="1"/>
    <xf numFmtId="16" fontId="19" fillId="3" borderId="0" xfId="1" applyNumberFormat="1" applyFont="1" applyFill="1"/>
    <xf numFmtId="0" fontId="19" fillId="3" borderId="1" xfId="1" applyFont="1" applyFill="1" applyBorder="1"/>
    <xf numFmtId="0" fontId="19" fillId="3" borderId="8" xfId="1" applyFont="1" applyFill="1" applyBorder="1"/>
    <xf numFmtId="166" fontId="1" fillId="0" borderId="0" xfId="1" applyNumberFormat="1"/>
    <xf numFmtId="0" fontId="19" fillId="3" borderId="21" xfId="1" applyFont="1" applyFill="1" applyBorder="1"/>
    <xf numFmtId="0" fontId="20" fillId="3" borderId="1" xfId="1" applyFont="1" applyFill="1" applyBorder="1"/>
    <xf numFmtId="2" fontId="20" fillId="3" borderId="8" xfId="1" applyNumberFormat="1" applyFont="1" applyFill="1" applyBorder="1"/>
    <xf numFmtId="0" fontId="3" fillId="4" borderId="8" xfId="1" applyFont="1" applyFill="1" applyBorder="1"/>
    <xf numFmtId="2" fontId="1" fillId="0" borderId="13" xfId="1" applyNumberFormat="1" applyBorder="1"/>
    <xf numFmtId="2" fontId="1" fillId="4" borderId="15" xfId="1" applyNumberFormat="1" applyFill="1" applyBorder="1"/>
    <xf numFmtId="2" fontId="1" fillId="4" borderId="8" xfId="1" applyNumberFormat="1" applyFill="1" applyBorder="1"/>
    <xf numFmtId="2" fontId="1" fillId="0" borderId="21" xfId="1" applyNumberFormat="1" applyBorder="1"/>
    <xf numFmtId="2" fontId="2" fillId="0" borderId="8" xfId="1" applyNumberFormat="1" applyFont="1" applyBorder="1"/>
    <xf numFmtId="2" fontId="4" fillId="0" borderId="0" xfId="1" applyNumberFormat="1" applyFont="1"/>
    <xf numFmtId="2" fontId="0" fillId="0" borderId="0" xfId="0" applyNumberFormat="1"/>
    <xf numFmtId="0" fontId="17" fillId="0" borderId="0" xfId="1" applyFont="1"/>
    <xf numFmtId="0" fontId="18" fillId="0" borderId="0" xfId="1" applyFont="1"/>
    <xf numFmtId="0" fontId="20" fillId="0" borderId="1" xfId="1" applyFont="1" applyBorder="1"/>
    <xf numFmtId="2" fontId="20" fillId="0" borderId="8" xfId="1" applyNumberFormat="1" applyFont="1" applyBorder="1"/>
    <xf numFmtId="0" fontId="19" fillId="0" borderId="0" xfId="1" applyFont="1"/>
    <xf numFmtId="2" fontId="19" fillId="0" borderId="0" xfId="1" applyNumberFormat="1" applyFont="1"/>
    <xf numFmtId="16" fontId="19" fillId="0" borderId="0" xfId="1" applyNumberFormat="1" applyFont="1"/>
    <xf numFmtId="2" fontId="5" fillId="0" borderId="0" xfId="1" applyNumberFormat="1" applyFont="1" applyAlignment="1">
      <alignment horizontal="left"/>
    </xf>
    <xf numFmtId="2" fontId="1" fillId="4" borderId="21" xfId="1" applyNumberFormat="1" applyFill="1" applyBorder="1"/>
    <xf numFmtId="0" fontId="5" fillId="4" borderId="0" xfId="1" applyFont="1" applyFill="1"/>
    <xf numFmtId="0" fontId="4" fillId="0" borderId="0" xfId="1" applyFont="1" applyAlignment="1">
      <alignment horizontal="left"/>
    </xf>
    <xf numFmtId="167" fontId="41" fillId="0" borderId="0" xfId="1" applyNumberFormat="1" applyFont="1"/>
    <xf numFmtId="2" fontId="41" fillId="0" borderId="0" xfId="1" applyNumberFormat="1" applyFont="1"/>
    <xf numFmtId="0" fontId="23" fillId="0" borderId="0" xfId="0" applyFont="1"/>
    <xf numFmtId="0" fontId="44" fillId="0" borderId="0" xfId="0" applyFont="1" applyAlignment="1">
      <alignment vertical="center"/>
    </xf>
    <xf numFmtId="2" fontId="5" fillId="2" borderId="0" xfId="1" applyNumberFormat="1" applyFont="1" applyFill="1"/>
    <xf numFmtId="2" fontId="1" fillId="36" borderId="15" xfId="1" applyNumberFormat="1" applyFill="1" applyBorder="1"/>
    <xf numFmtId="2" fontId="1" fillId="0" borderId="4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2" fontId="15" fillId="2" borderId="0" xfId="1" applyNumberFormat="1" applyFont="1" applyFill="1"/>
    <xf numFmtId="4" fontId="1" fillId="0" borderId="0" xfId="1" applyNumberFormat="1"/>
    <xf numFmtId="2" fontId="43" fillId="0" borderId="0" xfId="1" applyNumberFormat="1" applyFont="1"/>
    <xf numFmtId="0" fontId="45" fillId="0" borderId="0" xfId="0" applyFont="1" applyAlignment="1">
      <alignment vertical="center"/>
    </xf>
    <xf numFmtId="4" fontId="47" fillId="0" borderId="0" xfId="0" applyNumberFormat="1" applyFont="1"/>
    <xf numFmtId="2" fontId="1" fillId="0" borderId="39" xfId="1" applyNumberFormat="1" applyBorder="1"/>
    <xf numFmtId="0" fontId="2" fillId="0" borderId="0" xfId="1" applyFont="1" applyAlignment="1">
      <alignment horizontal="left"/>
    </xf>
    <xf numFmtId="165" fontId="2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left"/>
    </xf>
    <xf numFmtId="167" fontId="42" fillId="0" borderId="0" xfId="0" applyNumberFormat="1" applyFont="1"/>
    <xf numFmtId="0" fontId="42" fillId="0" borderId="0" xfId="0" applyFont="1"/>
    <xf numFmtId="2" fontId="10" fillId="0" borderId="0" xfId="1" applyNumberFormat="1" applyFont="1"/>
    <xf numFmtId="2" fontId="1" fillId="4" borderId="39" xfId="1" applyNumberFormat="1" applyFill="1" applyBorder="1"/>
    <xf numFmtId="0" fontId="5" fillId="4" borderId="8" xfId="1" applyFont="1" applyFill="1" applyBorder="1"/>
    <xf numFmtId="2" fontId="5" fillId="4" borderId="15" xfId="1" applyNumberFormat="1" applyFont="1" applyFill="1" applyBorder="1"/>
    <xf numFmtId="0" fontId="25" fillId="0" borderId="0" xfId="0" applyFont="1"/>
    <xf numFmtId="2" fontId="11" fillId="0" borderId="0" xfId="1" applyNumberFormat="1" applyFont="1"/>
    <xf numFmtId="0" fontId="48" fillId="0" borderId="0" xfId="0" applyFont="1"/>
    <xf numFmtId="2" fontId="5" fillId="4" borderId="8" xfId="1" applyNumberFormat="1" applyFont="1" applyFill="1" applyBorder="1"/>
    <xf numFmtId="0" fontId="43" fillId="0" borderId="0" xfId="1" applyFont="1"/>
    <xf numFmtId="0" fontId="24" fillId="0" borderId="0" xfId="0" applyFont="1"/>
    <xf numFmtId="2" fontId="1" fillId="0" borderId="40" xfId="1" applyNumberFormat="1" applyBorder="1"/>
    <xf numFmtId="4" fontId="47" fillId="0" borderId="1" xfId="0" applyNumberFormat="1" applyFont="1" applyBorder="1"/>
    <xf numFmtId="2" fontId="2" fillId="0" borderId="8" xfId="1" applyNumberFormat="1" applyFont="1" applyBorder="1" applyAlignment="1">
      <alignment horizontal="left" indent="1"/>
    </xf>
    <xf numFmtId="2" fontId="1" fillId="0" borderId="15" xfId="1" applyNumberFormat="1" applyBorder="1" applyAlignment="1">
      <alignment horizontal="left" indent="1"/>
    </xf>
    <xf numFmtId="2" fontId="1" fillId="0" borderId="8" xfId="1" applyNumberFormat="1" applyBorder="1" applyAlignment="1">
      <alignment horizontal="left" indent="1"/>
    </xf>
    <xf numFmtId="0" fontId="3" fillId="0" borderId="8" xfId="1" applyFont="1" applyBorder="1" applyAlignment="1">
      <alignment horizontal="left" indent="1"/>
    </xf>
    <xf numFmtId="4" fontId="47" fillId="0" borderId="0" xfId="0" applyNumberFormat="1" applyFont="1" applyAlignment="1">
      <alignment horizontal="left" indent="1"/>
    </xf>
    <xf numFmtId="2" fontId="1" fillId="4" borderId="15" xfId="1" applyNumberFormat="1" applyFill="1" applyBorder="1" applyAlignment="1">
      <alignment horizontal="left" indent="1"/>
    </xf>
    <xf numFmtId="2" fontId="1" fillId="4" borderId="8" xfId="1" applyNumberFormat="1" applyFill="1" applyBorder="1" applyAlignment="1">
      <alignment horizontal="left" indent="1"/>
    </xf>
    <xf numFmtId="2" fontId="1" fillId="4" borderId="39" xfId="1" applyNumberFormat="1" applyFill="1" applyBorder="1" applyAlignment="1">
      <alignment horizontal="left" indent="1"/>
    </xf>
    <xf numFmtId="2" fontId="1" fillId="4" borderId="21" xfId="1" applyNumberFormat="1" applyFill="1" applyBorder="1" applyAlignment="1">
      <alignment horizontal="left" indent="1"/>
    </xf>
    <xf numFmtId="2" fontId="43" fillId="0" borderId="15" xfId="1" applyNumberFormat="1" applyFont="1" applyBorder="1"/>
    <xf numFmtId="0" fontId="2" fillId="0" borderId="15" xfId="1" applyFont="1" applyBorder="1"/>
    <xf numFmtId="2" fontId="2" fillId="0" borderId="15" xfId="1" applyNumberFormat="1" applyFont="1" applyBorder="1"/>
    <xf numFmtId="2" fontId="1" fillId="36" borderId="0" xfId="1" applyNumberFormat="1" applyFill="1"/>
    <xf numFmtId="0" fontId="1" fillId="36" borderId="0" xfId="1" applyFill="1"/>
    <xf numFmtId="2" fontId="1" fillId="36" borderId="0" xfId="1" applyNumberFormat="1" applyFill="1" applyAlignment="1">
      <alignment horizontal="left"/>
    </xf>
    <xf numFmtId="2" fontId="43" fillId="0" borderId="41" xfId="1" applyNumberFormat="1" applyFont="1" applyBorder="1"/>
    <xf numFmtId="2" fontId="43" fillId="0" borderId="42" xfId="1" applyNumberFormat="1" applyFont="1" applyBorder="1"/>
    <xf numFmtId="0" fontId="43" fillId="36" borderId="0" xfId="1" applyFont="1" applyFill="1"/>
    <xf numFmtId="2" fontId="43" fillId="36" borderId="0" xfId="1" applyNumberFormat="1" applyFont="1" applyFill="1"/>
    <xf numFmtId="2" fontId="1" fillId="0" borderId="41" xfId="1" applyNumberFormat="1" applyBorder="1"/>
    <xf numFmtId="2" fontId="1" fillId="0" borderId="42" xfId="1" applyNumberFormat="1" applyBorder="1"/>
    <xf numFmtId="2" fontId="21" fillId="0" borderId="0" xfId="1" applyNumberFormat="1" applyFont="1"/>
    <xf numFmtId="2" fontId="5" fillId="0" borderId="8" xfId="1" applyNumberFormat="1" applyFont="1" applyBorder="1"/>
    <xf numFmtId="2" fontId="50" fillId="0" borderId="43" xfId="0" applyNumberFormat="1" applyFont="1" applyBorder="1" applyAlignment="1">
      <alignment horizontal="right" vertical="center" wrapText="1"/>
    </xf>
    <xf numFmtId="168" fontId="50" fillId="0" borderId="43" xfId="0" applyNumberFormat="1" applyFont="1" applyBorder="1" applyAlignment="1">
      <alignment horizontal="right" vertical="center" wrapText="1"/>
    </xf>
    <xf numFmtId="2" fontId="5" fillId="4" borderId="0" xfId="1" applyNumberFormat="1" applyFont="1" applyFill="1"/>
    <xf numFmtId="1" fontId="2" fillId="0" borderId="0" xfId="1" applyNumberFormat="1" applyFont="1" applyAlignment="1">
      <alignment horizontal="left"/>
    </xf>
    <xf numFmtId="168" fontId="51" fillId="0" borderId="43" xfId="0" applyNumberFormat="1" applyFont="1" applyBorder="1" applyAlignment="1">
      <alignment horizontal="right" vertical="center" wrapText="1"/>
    </xf>
    <xf numFmtId="2" fontId="3" fillId="0" borderId="15" xfId="1" applyNumberFormat="1" applyFont="1" applyBorder="1"/>
    <xf numFmtId="2" fontId="3" fillId="0" borderId="39" xfId="1" applyNumberFormat="1" applyFont="1" applyBorder="1"/>
    <xf numFmtId="0" fontId="13" fillId="0" borderId="4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13" xfId="1" applyFont="1" applyBorder="1" applyAlignment="1">
      <alignment horizontal="center"/>
    </xf>
    <xf numFmtId="2" fontId="13" fillId="0" borderId="15" xfId="1" applyNumberFormat="1" applyFont="1" applyBorder="1"/>
    <xf numFmtId="2" fontId="13" fillId="0" borderId="13" xfId="1" applyNumberFormat="1" applyFont="1" applyBorder="1"/>
    <xf numFmtId="2" fontId="13" fillId="0" borderId="42" xfId="1" applyNumberFormat="1" applyFont="1" applyBorder="1"/>
    <xf numFmtId="2" fontId="13" fillId="0" borderId="21" xfId="1" applyNumberFormat="1" applyFont="1" applyBorder="1"/>
    <xf numFmtId="2" fontId="13" fillId="0" borderId="29" xfId="1" applyNumberFormat="1" applyFont="1" applyBorder="1"/>
    <xf numFmtId="168" fontId="49" fillId="0" borderId="43" xfId="3" applyNumberFormat="1" applyFont="1" applyBorder="1" applyAlignment="1">
      <alignment horizontal="right" vertical="center" wrapText="1"/>
    </xf>
    <xf numFmtId="4" fontId="49" fillId="0" borderId="43" xfId="3" applyNumberFormat="1" applyFont="1" applyBorder="1" applyAlignment="1">
      <alignment horizontal="right" vertical="center" wrapText="1"/>
    </xf>
    <xf numFmtId="2" fontId="49" fillId="0" borderId="43" xfId="3" applyNumberFormat="1" applyFont="1" applyBorder="1" applyAlignment="1">
      <alignment horizontal="right" vertical="center" wrapText="1"/>
    </xf>
    <xf numFmtId="0" fontId="49" fillId="0" borderId="43" xfId="3" applyFont="1" applyBorder="1" applyAlignment="1">
      <alignment vertical="center" wrapText="1"/>
    </xf>
    <xf numFmtId="0" fontId="52" fillId="0" borderId="0" xfId="0" applyFont="1"/>
    <xf numFmtId="169" fontId="54" fillId="4" borderId="47" xfId="0" applyNumberFormat="1" applyFont="1" applyFill="1" applyBorder="1" applyAlignment="1" applyProtection="1">
      <alignment horizontal="right" wrapText="1"/>
      <protection locked="0"/>
    </xf>
    <xf numFmtId="1" fontId="54" fillId="4" borderId="47" xfId="0" applyNumberFormat="1" applyFont="1" applyFill="1" applyBorder="1" applyAlignment="1" applyProtection="1">
      <alignment horizontal="right" wrapText="1"/>
      <protection locked="0"/>
    </xf>
    <xf numFmtId="164" fontId="5" fillId="41" borderId="0" xfId="1" applyNumberFormat="1" applyFont="1" applyFill="1"/>
    <xf numFmtId="0" fontId="1" fillId="41" borderId="0" xfId="1" applyFill="1"/>
    <xf numFmtId="169" fontId="39" fillId="37" borderId="44" xfId="0" applyNumberFormat="1" applyFont="1" applyFill="1" applyBorder="1" applyAlignment="1">
      <alignment horizontal="left" wrapText="1"/>
    </xf>
    <xf numFmtId="169" fontId="39" fillId="37" borderId="45" xfId="0" applyNumberFormat="1" applyFont="1" applyFill="1" applyBorder="1" applyAlignment="1">
      <alignment horizontal="left" wrapText="1"/>
    </xf>
    <xf numFmtId="169" fontId="39" fillId="37" borderId="46" xfId="0" applyNumberFormat="1" applyFont="1" applyFill="1" applyBorder="1" applyAlignment="1">
      <alignment horizontal="left" wrapText="1"/>
    </xf>
    <xf numFmtId="169" fontId="53" fillId="0" borderId="0" xfId="0" applyNumberFormat="1" applyFont="1" applyAlignment="1">
      <alignment horizontal="left"/>
    </xf>
    <xf numFmtId="169" fontId="53" fillId="0" borderId="0" xfId="0" applyNumberFormat="1" applyFont="1" applyAlignment="1">
      <alignment horizontal="left" wrapText="1"/>
    </xf>
    <xf numFmtId="10" fontId="54" fillId="0" borderId="0" xfId="0" applyNumberFormat="1" applyFont="1" applyAlignment="1">
      <alignment horizontal="left" wrapText="1"/>
    </xf>
    <xf numFmtId="169" fontId="54" fillId="38" borderId="0" xfId="0" applyNumberFormat="1" applyFont="1" applyFill="1" applyAlignment="1">
      <alignment horizontal="right" wrapText="1"/>
    </xf>
    <xf numFmtId="169" fontId="57" fillId="40" borderId="0" xfId="0" applyNumberFormat="1" applyFont="1" applyFill="1" applyAlignment="1">
      <alignment horizontal="left"/>
    </xf>
    <xf numFmtId="169" fontId="53" fillId="40" borderId="0" xfId="0" applyNumberFormat="1" applyFont="1" applyFill="1" applyAlignment="1">
      <alignment horizontal="left" wrapText="1"/>
    </xf>
    <xf numFmtId="10" fontId="54" fillId="40" borderId="0" xfId="0" applyNumberFormat="1" applyFont="1" applyFill="1" applyAlignment="1">
      <alignment horizontal="left" wrapText="1"/>
    </xf>
    <xf numFmtId="2" fontId="6" fillId="4" borderId="0" xfId="1" applyNumberFormat="1" applyFont="1" applyFill="1"/>
    <xf numFmtId="2" fontId="1" fillId="4" borderId="0" xfId="1" applyNumberFormat="1" applyFill="1"/>
    <xf numFmtId="14" fontId="1" fillId="4" borderId="0" xfId="1" applyNumberFormat="1" applyFill="1" applyAlignment="1">
      <alignment horizontal="left"/>
    </xf>
    <xf numFmtId="1" fontId="1" fillId="4" borderId="0" xfId="1" applyNumberFormat="1" applyFill="1"/>
    <xf numFmtId="0" fontId="2" fillId="0" borderId="0" xfId="1" applyFont="1" applyAlignment="1">
      <alignment horizontal="left"/>
    </xf>
    <xf numFmtId="165" fontId="2" fillId="0" borderId="0" xfId="1" applyNumberFormat="1" applyFont="1" applyAlignment="1">
      <alignment horizontal="left"/>
    </xf>
    <xf numFmtId="0" fontId="1" fillId="0" borderId="0" xfId="1" applyAlignment="1">
      <alignment horizontal="center"/>
    </xf>
    <xf numFmtId="0" fontId="1" fillId="0" borderId="2" xfId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24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25" xfId="1" applyBorder="1" applyAlignment="1">
      <alignment horizontal="center"/>
    </xf>
    <xf numFmtId="0" fontId="0" fillId="0" borderId="0" xfId="0" applyAlignment="1">
      <alignment horizontal="center"/>
    </xf>
    <xf numFmtId="0" fontId="56" fillId="0" borderId="0" xfId="1" applyFont="1" applyAlignment="1">
      <alignment horizontal="left" vertical="top" wrapText="1"/>
    </xf>
    <xf numFmtId="0" fontId="58" fillId="39" borderId="0" xfId="0" applyFont="1" applyFill="1" applyAlignment="1">
      <alignment horizontal="center"/>
    </xf>
    <xf numFmtId="169" fontId="53" fillId="0" borderId="0" xfId="0" applyNumberFormat="1" applyFont="1" applyAlignment="1">
      <alignment horizontal="left"/>
    </xf>
    <xf numFmtId="0" fontId="55" fillId="0" borderId="0" xfId="0" applyFont="1" applyAlignment="1">
      <alignment horizontal="left" vertical="top" wrapText="1"/>
    </xf>
  </cellXfs>
  <cellStyles count="50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20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1" xr:uid="{00000000-0005-0000-0000-000025000000}"/>
    <cellStyle name="Normal 2 11" xfId="47" xr:uid="{00000000-0005-0000-0000-000026000000}"/>
    <cellStyle name="Normal 2 2" xfId="2" xr:uid="{00000000-0005-0000-0000-000027000000}"/>
    <cellStyle name="Normal 3" xfId="3" xr:uid="{00000000-0005-0000-0000-000028000000}"/>
    <cellStyle name="Normal 3 2" xfId="48" xr:uid="{00000000-0005-0000-0000-000029000000}"/>
    <cellStyle name="Normal 4" xfId="4" xr:uid="{00000000-0005-0000-0000-00002A000000}"/>
    <cellStyle name="Normal 4 2" xfId="49" xr:uid="{00000000-0005-0000-0000-00002B000000}"/>
    <cellStyle name="Note" xfId="19" builtinId="10" customBuiltin="1"/>
    <cellStyle name="Output" xfId="14" builtinId="21" customBuiltin="1"/>
    <cellStyle name="Title" xfId="5" builtinId="15" customBuiltin="1"/>
    <cellStyle name="Title 2" xfId="46" xr:uid="{00000000-0005-0000-0000-00002F000000}"/>
    <cellStyle name="Total" xfId="21" builtinId="25" customBuiltin="1"/>
    <cellStyle name="Warning Text" xfId="18" builtinId="11" customBuiltin="1"/>
  </cellStyles>
  <dxfs count="0"/>
  <tableStyles count="0" defaultTableStyle="TableStyleMedium2" defaultPivotStyle="PivotStyleLight16"/>
  <colors>
    <mruColors>
      <color rgb="FF0000FF"/>
      <color rgb="FFFF99FF"/>
      <color rgb="FFFF7C80"/>
      <color rgb="FF3366FF"/>
      <color rgb="FF00FF00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885778</xdr:colOff>
      <xdr:row>0</xdr:row>
      <xdr:rowOff>65689</xdr:rowOff>
    </xdr:from>
    <xdr:to>
      <xdr:col>1</xdr:col>
      <xdr:colOff>3378382</xdr:colOff>
      <xdr:row>4</xdr:row>
      <xdr:rowOff>247739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778" y="65689"/>
          <a:ext cx="3872087" cy="944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6">
    <tabColor rgb="FFFF0000"/>
  </sheetPr>
  <dimension ref="A1:WVS48"/>
  <sheetViews>
    <sheetView zoomScale="85" zoomScaleNormal="85" workbookViewId="0">
      <selection activeCell="F28" sqref="F28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78</v>
      </c>
      <c r="C1" s="205"/>
      <c r="D1" s="1" t="s">
        <v>1</v>
      </c>
      <c r="E1" s="2">
        <v>9</v>
      </c>
      <c r="F1" s="2">
        <v>12</v>
      </c>
      <c r="G1" s="2"/>
      <c r="H1" s="2"/>
      <c r="I1" s="3" t="s">
        <v>2</v>
      </c>
      <c r="J1" s="73">
        <v>35658</v>
      </c>
    </row>
    <row r="2" spans="1:20">
      <c r="A2" s="1" t="s">
        <v>4</v>
      </c>
      <c r="B2" s="206">
        <v>644266497</v>
      </c>
      <c r="C2" s="206"/>
      <c r="D2" s="5" t="s">
        <v>49</v>
      </c>
      <c r="E2" s="6"/>
      <c r="F2" s="6"/>
      <c r="G2" s="6"/>
      <c r="H2" s="6"/>
      <c r="I2" s="3" t="s">
        <v>5</v>
      </c>
      <c r="J2" s="73">
        <v>24719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5">
        <f>J4*G1</f>
        <v>0</v>
      </c>
      <c r="K3" s="49"/>
      <c r="L3" s="14">
        <f>-SUM(C30+D30+E30+F30)</f>
        <v>-52126.098500000007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v>21810.05</v>
      </c>
      <c r="K4" s="49"/>
      <c r="L4" s="19">
        <f>SUM(L2:L3)</f>
        <v>5873.9014999999927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5">
        <f>J4/2</f>
        <v>10905.025</v>
      </c>
      <c r="K5" s="49"/>
      <c r="O5" s="14">
        <f>-D30</f>
        <v>-6515.7530000000006</v>
      </c>
      <c r="P5" s="15" t="s">
        <v>29</v>
      </c>
      <c r="R5" s="16"/>
    </row>
    <row r="6" spans="1:20" ht="13.5" thickBot="1">
      <c r="A6" s="23">
        <v>40553</v>
      </c>
      <c r="B6" s="24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19484.246999999999</v>
      </c>
      <c r="P6" s="32" t="s">
        <v>93</v>
      </c>
      <c r="R6" s="16"/>
    </row>
    <row r="7" spans="1:20" ht="13.5" thickBot="1">
      <c r="A7" s="23">
        <v>40568</v>
      </c>
      <c r="B7" s="24">
        <v>0</v>
      </c>
      <c r="C7" s="25">
        <f t="shared" ref="C7:C29" si="0">B7*0.075</f>
        <v>0</v>
      </c>
      <c r="D7" s="25">
        <f t="shared" ref="D7:D23" si="1">B7*0.025</f>
        <v>0</v>
      </c>
      <c r="E7" s="26">
        <f t="shared" ref="E7:E25" si="2">B7*0.075</f>
        <v>0</v>
      </c>
      <c r="F7" s="25">
        <f t="shared" ref="F7:F23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24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5873.9014999999927</v>
      </c>
      <c r="P8" s="34" t="s">
        <v>101</v>
      </c>
      <c r="R8" s="16"/>
    </row>
    <row r="9" spans="1:20">
      <c r="A9" s="23">
        <v>40599</v>
      </c>
      <c r="B9" s="24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24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24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12373.901499999993</v>
      </c>
      <c r="P11" s="37"/>
      <c r="R11" s="41"/>
    </row>
    <row r="12" spans="1:20" ht="13.5" thickBot="1">
      <c r="A12" s="23">
        <v>40643</v>
      </c>
      <c r="B12" s="24">
        <v>-3564.06</v>
      </c>
      <c r="C12" s="25">
        <v>0</v>
      </c>
      <c r="D12" s="25">
        <v>0</v>
      </c>
      <c r="E12" s="26">
        <v>0</v>
      </c>
      <c r="F12" s="25"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24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24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12373.901499999993</v>
      </c>
      <c r="P14" s="42" t="s">
        <v>31</v>
      </c>
      <c r="R14" s="31"/>
      <c r="S14" s="31"/>
    </row>
    <row r="15" spans="1:20">
      <c r="A15" s="23">
        <v>40688</v>
      </c>
      <c r="B15" s="24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12373.901499999993</v>
      </c>
      <c r="P15" s="23">
        <v>40553</v>
      </c>
      <c r="R15" s="31"/>
    </row>
    <row r="16" spans="1:20">
      <c r="A16" s="23">
        <v>40704</v>
      </c>
      <c r="B16" s="24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12373.901499999993</v>
      </c>
      <c r="P16" s="23">
        <v>40568</v>
      </c>
      <c r="R16" s="31"/>
    </row>
    <row r="17" spans="1:22">
      <c r="A17" s="23">
        <v>40719</v>
      </c>
      <c r="B17" s="24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12373.901499999993</v>
      </c>
      <c r="P17" s="23">
        <v>40584</v>
      </c>
      <c r="R17" s="31"/>
    </row>
    <row r="18" spans="1:22">
      <c r="A18" s="23">
        <v>40369</v>
      </c>
      <c r="B18" s="24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12373.901499999993</v>
      </c>
      <c r="P18" s="23">
        <v>40599</v>
      </c>
      <c r="R18" s="31"/>
      <c r="U18" s="31"/>
      <c r="V18" s="31"/>
    </row>
    <row r="19" spans="1:22">
      <c r="A19" s="23">
        <v>40384</v>
      </c>
      <c r="B19" s="24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12373.901499999993</v>
      </c>
      <c r="P19" s="23">
        <v>40612</v>
      </c>
    </row>
    <row r="20" spans="1:22">
      <c r="A20" s="23">
        <v>40400</v>
      </c>
      <c r="B20" s="24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12373.901499999993</v>
      </c>
      <c r="P20" s="23">
        <v>40627</v>
      </c>
    </row>
    <row r="21" spans="1:22">
      <c r="A21" s="23">
        <v>40415</v>
      </c>
      <c r="B21" s="24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12373.901499999993</v>
      </c>
      <c r="P21" s="23">
        <v>40643</v>
      </c>
      <c r="U21" s="31"/>
    </row>
    <row r="22" spans="1:22">
      <c r="A22" s="23">
        <v>40066</v>
      </c>
      <c r="B22" s="24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12373.901499999993</v>
      </c>
      <c r="P22" s="23">
        <v>40658</v>
      </c>
      <c r="U22" s="31"/>
    </row>
    <row r="23" spans="1:22">
      <c r="A23" s="23">
        <v>40081</v>
      </c>
      <c r="B23" s="24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12373.901499999993</v>
      </c>
      <c r="P23" s="23">
        <v>40673</v>
      </c>
      <c r="R23" s="31"/>
      <c r="U23" s="31"/>
    </row>
    <row r="24" spans="1:22">
      <c r="A24" s="23">
        <v>40096</v>
      </c>
      <c r="B24" s="24">
        <v>209669.1</v>
      </c>
      <c r="C24" s="25">
        <v>15457.91</v>
      </c>
      <c r="D24" s="25">
        <v>4907.6000000000004</v>
      </c>
      <c r="E24" s="26">
        <v>15457.91</v>
      </c>
      <c r="F24" s="25">
        <v>5142.7</v>
      </c>
      <c r="G24" s="27">
        <v>21092.400000000001</v>
      </c>
      <c r="H24" s="27">
        <v>26000</v>
      </c>
      <c r="I24" s="53"/>
      <c r="J24" s="53"/>
      <c r="K24" s="53"/>
      <c r="O24" s="14">
        <f t="shared" si="4"/>
        <v>12373.901499999993</v>
      </c>
      <c r="P24" s="23">
        <v>40688</v>
      </c>
      <c r="R24" s="31"/>
      <c r="U24" s="31"/>
    </row>
    <row r="25" spans="1:22">
      <c r="A25" s="23">
        <v>40111</v>
      </c>
      <c r="B25" s="24">
        <v>10905.03</v>
      </c>
      <c r="C25" s="25">
        <f t="shared" si="0"/>
        <v>817.87725</v>
      </c>
      <c r="D25" s="25">
        <v>0</v>
      </c>
      <c r="E25" s="26">
        <f t="shared" si="2"/>
        <v>817.87725</v>
      </c>
      <c r="F25" s="25">
        <v>0</v>
      </c>
      <c r="G25" s="134">
        <v>-8561.02</v>
      </c>
      <c r="H25" s="27">
        <v>1083</v>
      </c>
      <c r="I25" s="54"/>
      <c r="J25" s="55"/>
      <c r="K25" s="54"/>
      <c r="O25" s="14">
        <f t="shared" si="4"/>
        <v>12373.901499999993</v>
      </c>
      <c r="P25" s="23">
        <v>40704</v>
      </c>
      <c r="R25" s="31"/>
    </row>
    <row r="26" spans="1:22">
      <c r="A26" s="23">
        <v>40127</v>
      </c>
      <c r="B26" s="24">
        <v>10905.03</v>
      </c>
      <c r="C26" s="25">
        <f t="shared" si="0"/>
        <v>817.87725</v>
      </c>
      <c r="D26" s="25">
        <f>B26*0.025</f>
        <v>272.62575000000004</v>
      </c>
      <c r="E26" s="26">
        <f>B26*0.075</f>
        <v>817.87725</v>
      </c>
      <c r="F26" s="25">
        <f>B26*0.025</f>
        <v>272.62575000000004</v>
      </c>
      <c r="G26" s="27">
        <v>178.19</v>
      </c>
      <c r="H26" s="27">
        <v>1083</v>
      </c>
      <c r="I26" s="50"/>
      <c r="J26" s="45"/>
      <c r="K26" s="45"/>
      <c r="O26" s="14">
        <f t="shared" si="4"/>
        <v>12373.901499999993</v>
      </c>
      <c r="P26" s="23">
        <v>40719</v>
      </c>
      <c r="R26" s="31"/>
    </row>
    <row r="27" spans="1:22" ht="15" customHeight="1">
      <c r="A27" s="23">
        <v>40142</v>
      </c>
      <c r="B27" s="24">
        <v>10905.03</v>
      </c>
      <c r="C27" s="25">
        <f t="shared" si="0"/>
        <v>817.87725</v>
      </c>
      <c r="D27" s="25">
        <f>B27*0.025</f>
        <v>272.62575000000004</v>
      </c>
      <c r="E27" s="26">
        <f>B27*0.075</f>
        <v>817.87725</v>
      </c>
      <c r="F27" s="25">
        <f>B27*0.025</f>
        <v>272.62575000000004</v>
      </c>
      <c r="G27" s="134">
        <v>-335.67</v>
      </c>
      <c r="H27" s="27">
        <v>1083</v>
      </c>
      <c r="I27" s="56"/>
      <c r="J27" s="56"/>
      <c r="K27" s="56"/>
      <c r="O27" s="14">
        <f t="shared" si="4"/>
        <v>12373.901499999993</v>
      </c>
      <c r="P27" s="23">
        <v>40369</v>
      </c>
      <c r="R27" s="31"/>
    </row>
    <row r="28" spans="1:22">
      <c r="A28" s="23">
        <v>40157</v>
      </c>
      <c r="B28" s="24">
        <v>10905.03</v>
      </c>
      <c r="C28" s="25">
        <f t="shared" si="0"/>
        <v>817.87725</v>
      </c>
      <c r="D28" s="135">
        <f>(B28*0.025)+517.65</f>
        <v>790.27575000000002</v>
      </c>
      <c r="E28" s="26">
        <f>B28*0.075</f>
        <v>817.87725</v>
      </c>
      <c r="F28" s="135">
        <f>(B28*0.025)+282.55</f>
        <v>555.17575000000011</v>
      </c>
      <c r="G28" s="27">
        <v>0</v>
      </c>
      <c r="H28" s="27">
        <v>1083</v>
      </c>
      <c r="I28" s="56"/>
      <c r="J28" s="56"/>
      <c r="K28" s="56"/>
      <c r="L28" s="48"/>
      <c r="M28" s="45"/>
      <c r="N28" s="46"/>
      <c r="O28" s="14">
        <f t="shared" si="4"/>
        <v>12373.901499999993</v>
      </c>
      <c r="P28" s="23">
        <v>40384</v>
      </c>
      <c r="R28" s="89"/>
    </row>
    <row r="29" spans="1:22" ht="13.5" thickBot="1">
      <c r="A29" s="23">
        <v>39441</v>
      </c>
      <c r="B29" s="24">
        <v>10905.03</v>
      </c>
      <c r="C29" s="25">
        <f t="shared" si="0"/>
        <v>817.87725</v>
      </c>
      <c r="D29" s="126">
        <f>B29*0.025</f>
        <v>272.62575000000004</v>
      </c>
      <c r="E29" s="97">
        <f>B29*0.075</f>
        <v>817.87725</v>
      </c>
      <c r="F29" s="97">
        <f>B29*0.025</f>
        <v>272.62575000000004</v>
      </c>
      <c r="G29" s="27">
        <v>0</v>
      </c>
      <c r="H29" s="27">
        <v>1083</v>
      </c>
      <c r="I29" s="56"/>
      <c r="J29" s="56"/>
      <c r="K29" s="56"/>
      <c r="O29" s="14">
        <f t="shared" si="4"/>
        <v>12373.901499999993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260630.19</v>
      </c>
      <c r="C30" s="59">
        <f t="shared" si="5"/>
        <v>19547.296250000003</v>
      </c>
      <c r="D30" s="94">
        <f t="shared" si="5"/>
        <v>6515.7530000000006</v>
      </c>
      <c r="E30" s="94">
        <f t="shared" si="5"/>
        <v>19547.296250000003</v>
      </c>
      <c r="F30" s="94">
        <f t="shared" si="5"/>
        <v>6515.7530000000006</v>
      </c>
      <c r="G30" s="59">
        <f t="shared" si="5"/>
        <v>12373.900000000001</v>
      </c>
      <c r="H30" s="59">
        <f t="shared" si="5"/>
        <v>31415</v>
      </c>
      <c r="I30" s="44"/>
      <c r="J30" s="132"/>
      <c r="K30" s="44"/>
      <c r="O30" s="14">
        <f t="shared" si="4"/>
        <v>12373.901499999993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19547.26425</v>
      </c>
      <c r="D31" s="160">
        <f>B30*0.025</f>
        <v>6515.7547500000001</v>
      </c>
      <c r="E31" s="64">
        <f>C31</f>
        <v>19547.26425</v>
      </c>
      <c r="F31" s="64">
        <f>D31</f>
        <v>6515.7547500000001</v>
      </c>
      <c r="G31" s="65"/>
      <c r="H31" s="65"/>
      <c r="I31" s="44"/>
      <c r="J31" s="132"/>
      <c r="K31" s="44"/>
      <c r="O31" s="14">
        <f t="shared" si="4"/>
        <v>12373.901499999993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3.2000000002881279E-2</v>
      </c>
      <c r="D32" s="31">
        <f>D30-D31</f>
        <v>-1.7499999994470272E-3</v>
      </c>
      <c r="E32" s="31">
        <f>E30-E31</f>
        <v>3.2000000002881279E-2</v>
      </c>
      <c r="F32" s="31">
        <f>F30-F31</f>
        <v>-1.7499999994470272E-3</v>
      </c>
      <c r="G32" s="45"/>
      <c r="H32" s="45"/>
      <c r="I32" s="57"/>
      <c r="J32" s="57"/>
      <c r="K32" s="57"/>
      <c r="O32" s="14">
        <f t="shared" si="4"/>
        <v>12373.901499999993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-8718.4985000000088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-157.47850000000835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-335.66850000000835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1.4999999916653906E-3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1.4999999916653906E-3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1.4999999916653906E-3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52">
    <tabColor rgb="FFFFC000"/>
  </sheetPr>
  <dimension ref="A1:WVV48"/>
  <sheetViews>
    <sheetView zoomScale="85" zoomScaleNormal="85" workbookViewId="0">
      <selection activeCell="I28" sqref="I28"/>
    </sheetView>
  </sheetViews>
  <sheetFormatPr defaultRowHeight="12.75"/>
  <cols>
    <col min="1" max="1" width="10.42578125" style="5" bestFit="1" customWidth="1"/>
    <col min="2" max="2" width="13.42578125" style="5" customWidth="1"/>
    <col min="3" max="4" width="12.42578125" style="5" customWidth="1"/>
    <col min="5" max="5" width="12.5703125" style="5" customWidth="1"/>
    <col min="6" max="8" width="13" style="5" customWidth="1"/>
    <col min="9" max="9" width="20.7109375" style="5" customWidth="1"/>
    <col min="10" max="10" width="14.7109375" style="5" customWidth="1"/>
    <col min="11" max="11" width="12.7109375" style="5" hidden="1" customWidth="1"/>
    <col min="12" max="13" width="17.7109375" style="5" hidden="1" customWidth="1"/>
    <col min="14" max="14" width="9.28515625" style="5" hidden="1" customWidth="1"/>
    <col min="15" max="18" width="11.28515625" style="5" customWidth="1"/>
    <col min="19" max="19" width="19.7109375" style="5" customWidth="1"/>
    <col min="20" max="258" width="9.140625" style="5"/>
    <col min="259" max="259" width="10.42578125" style="5" bestFit="1" customWidth="1"/>
    <col min="260" max="260" width="13.42578125" style="5" customWidth="1"/>
    <col min="261" max="261" width="12.42578125" style="5" customWidth="1"/>
    <col min="262" max="262" width="12.5703125" style="5" customWidth="1"/>
    <col min="263" max="265" width="13" style="5" customWidth="1"/>
    <col min="266" max="266" width="14.7109375" style="5" customWidth="1"/>
    <col min="267" max="270" width="9.28515625" style="5" hidden="1" customWidth="1"/>
    <col min="271" max="274" width="11.28515625" style="5" customWidth="1"/>
    <col min="275" max="275" width="19.7109375" style="5" customWidth="1"/>
    <col min="276" max="514" width="9.140625" style="5"/>
    <col min="515" max="515" width="10.42578125" style="5" bestFit="1" customWidth="1"/>
    <col min="516" max="516" width="13.42578125" style="5" customWidth="1"/>
    <col min="517" max="517" width="12.42578125" style="5" customWidth="1"/>
    <col min="518" max="518" width="12.5703125" style="5" customWidth="1"/>
    <col min="519" max="521" width="13" style="5" customWidth="1"/>
    <col min="522" max="522" width="14.7109375" style="5" customWidth="1"/>
    <col min="523" max="526" width="9.28515625" style="5" hidden="1" customWidth="1"/>
    <col min="527" max="530" width="11.28515625" style="5" customWidth="1"/>
    <col min="531" max="531" width="19.7109375" style="5" customWidth="1"/>
    <col min="532" max="770" width="9.140625" style="5"/>
    <col min="771" max="771" width="10.42578125" style="5" bestFit="1" customWidth="1"/>
    <col min="772" max="772" width="13.42578125" style="5" customWidth="1"/>
    <col min="773" max="773" width="12.42578125" style="5" customWidth="1"/>
    <col min="774" max="774" width="12.5703125" style="5" customWidth="1"/>
    <col min="775" max="777" width="13" style="5" customWidth="1"/>
    <col min="778" max="778" width="14.7109375" style="5" customWidth="1"/>
    <col min="779" max="782" width="9.28515625" style="5" hidden="1" customWidth="1"/>
    <col min="783" max="786" width="11.28515625" style="5" customWidth="1"/>
    <col min="787" max="787" width="19.7109375" style="5" customWidth="1"/>
    <col min="788" max="1026" width="9.140625" style="5"/>
    <col min="1027" max="1027" width="10.42578125" style="5" bestFit="1" customWidth="1"/>
    <col min="1028" max="1028" width="13.42578125" style="5" customWidth="1"/>
    <col min="1029" max="1029" width="12.42578125" style="5" customWidth="1"/>
    <col min="1030" max="1030" width="12.5703125" style="5" customWidth="1"/>
    <col min="1031" max="1033" width="13" style="5" customWidth="1"/>
    <col min="1034" max="1034" width="14.7109375" style="5" customWidth="1"/>
    <col min="1035" max="1038" width="9.28515625" style="5" hidden="1" customWidth="1"/>
    <col min="1039" max="1042" width="11.28515625" style="5" customWidth="1"/>
    <col min="1043" max="1043" width="19.7109375" style="5" customWidth="1"/>
    <col min="1044" max="1282" width="9.140625" style="5"/>
    <col min="1283" max="1283" width="10.42578125" style="5" bestFit="1" customWidth="1"/>
    <col min="1284" max="1284" width="13.42578125" style="5" customWidth="1"/>
    <col min="1285" max="1285" width="12.42578125" style="5" customWidth="1"/>
    <col min="1286" max="1286" width="12.5703125" style="5" customWidth="1"/>
    <col min="1287" max="1289" width="13" style="5" customWidth="1"/>
    <col min="1290" max="1290" width="14.7109375" style="5" customWidth="1"/>
    <col min="1291" max="1294" width="9.28515625" style="5" hidden="1" customWidth="1"/>
    <col min="1295" max="1298" width="11.28515625" style="5" customWidth="1"/>
    <col min="1299" max="1299" width="19.7109375" style="5" customWidth="1"/>
    <col min="1300" max="1538" width="9.140625" style="5"/>
    <col min="1539" max="1539" width="10.42578125" style="5" bestFit="1" customWidth="1"/>
    <col min="1540" max="1540" width="13.42578125" style="5" customWidth="1"/>
    <col min="1541" max="1541" width="12.42578125" style="5" customWidth="1"/>
    <col min="1542" max="1542" width="12.5703125" style="5" customWidth="1"/>
    <col min="1543" max="1545" width="13" style="5" customWidth="1"/>
    <col min="1546" max="1546" width="14.7109375" style="5" customWidth="1"/>
    <col min="1547" max="1550" width="9.28515625" style="5" hidden="1" customWidth="1"/>
    <col min="1551" max="1554" width="11.28515625" style="5" customWidth="1"/>
    <col min="1555" max="1555" width="19.7109375" style="5" customWidth="1"/>
    <col min="1556" max="1794" width="9.140625" style="5"/>
    <col min="1795" max="1795" width="10.42578125" style="5" bestFit="1" customWidth="1"/>
    <col min="1796" max="1796" width="13.42578125" style="5" customWidth="1"/>
    <col min="1797" max="1797" width="12.42578125" style="5" customWidth="1"/>
    <col min="1798" max="1798" width="12.5703125" style="5" customWidth="1"/>
    <col min="1799" max="1801" width="13" style="5" customWidth="1"/>
    <col min="1802" max="1802" width="14.7109375" style="5" customWidth="1"/>
    <col min="1803" max="1806" width="9.28515625" style="5" hidden="1" customWidth="1"/>
    <col min="1807" max="1810" width="11.28515625" style="5" customWidth="1"/>
    <col min="1811" max="1811" width="19.7109375" style="5" customWidth="1"/>
    <col min="1812" max="2050" width="9.140625" style="5"/>
    <col min="2051" max="2051" width="10.42578125" style="5" bestFit="1" customWidth="1"/>
    <col min="2052" max="2052" width="13.42578125" style="5" customWidth="1"/>
    <col min="2053" max="2053" width="12.42578125" style="5" customWidth="1"/>
    <col min="2054" max="2054" width="12.5703125" style="5" customWidth="1"/>
    <col min="2055" max="2057" width="13" style="5" customWidth="1"/>
    <col min="2058" max="2058" width="14.7109375" style="5" customWidth="1"/>
    <col min="2059" max="2062" width="9.28515625" style="5" hidden="1" customWidth="1"/>
    <col min="2063" max="2066" width="11.28515625" style="5" customWidth="1"/>
    <col min="2067" max="2067" width="19.7109375" style="5" customWidth="1"/>
    <col min="2068" max="2306" width="9.140625" style="5"/>
    <col min="2307" max="2307" width="10.42578125" style="5" bestFit="1" customWidth="1"/>
    <col min="2308" max="2308" width="13.42578125" style="5" customWidth="1"/>
    <col min="2309" max="2309" width="12.42578125" style="5" customWidth="1"/>
    <col min="2310" max="2310" width="12.5703125" style="5" customWidth="1"/>
    <col min="2311" max="2313" width="13" style="5" customWidth="1"/>
    <col min="2314" max="2314" width="14.7109375" style="5" customWidth="1"/>
    <col min="2315" max="2318" width="9.28515625" style="5" hidden="1" customWidth="1"/>
    <col min="2319" max="2322" width="11.28515625" style="5" customWidth="1"/>
    <col min="2323" max="2323" width="19.7109375" style="5" customWidth="1"/>
    <col min="2324" max="2562" width="9.140625" style="5"/>
    <col min="2563" max="2563" width="10.42578125" style="5" bestFit="1" customWidth="1"/>
    <col min="2564" max="2564" width="13.42578125" style="5" customWidth="1"/>
    <col min="2565" max="2565" width="12.42578125" style="5" customWidth="1"/>
    <col min="2566" max="2566" width="12.5703125" style="5" customWidth="1"/>
    <col min="2567" max="2569" width="13" style="5" customWidth="1"/>
    <col min="2570" max="2570" width="14.7109375" style="5" customWidth="1"/>
    <col min="2571" max="2574" width="9.28515625" style="5" hidden="1" customWidth="1"/>
    <col min="2575" max="2578" width="11.28515625" style="5" customWidth="1"/>
    <col min="2579" max="2579" width="19.7109375" style="5" customWidth="1"/>
    <col min="2580" max="2818" width="9.140625" style="5"/>
    <col min="2819" max="2819" width="10.42578125" style="5" bestFit="1" customWidth="1"/>
    <col min="2820" max="2820" width="13.42578125" style="5" customWidth="1"/>
    <col min="2821" max="2821" width="12.42578125" style="5" customWidth="1"/>
    <col min="2822" max="2822" width="12.5703125" style="5" customWidth="1"/>
    <col min="2823" max="2825" width="13" style="5" customWidth="1"/>
    <col min="2826" max="2826" width="14.7109375" style="5" customWidth="1"/>
    <col min="2827" max="2830" width="9.28515625" style="5" hidden="1" customWidth="1"/>
    <col min="2831" max="2834" width="11.28515625" style="5" customWidth="1"/>
    <col min="2835" max="2835" width="19.7109375" style="5" customWidth="1"/>
    <col min="2836" max="3074" width="9.140625" style="5"/>
    <col min="3075" max="3075" width="10.42578125" style="5" bestFit="1" customWidth="1"/>
    <col min="3076" max="3076" width="13.42578125" style="5" customWidth="1"/>
    <col min="3077" max="3077" width="12.42578125" style="5" customWidth="1"/>
    <col min="3078" max="3078" width="12.5703125" style="5" customWidth="1"/>
    <col min="3079" max="3081" width="13" style="5" customWidth="1"/>
    <col min="3082" max="3082" width="14.7109375" style="5" customWidth="1"/>
    <col min="3083" max="3086" width="9.28515625" style="5" hidden="1" customWidth="1"/>
    <col min="3087" max="3090" width="11.28515625" style="5" customWidth="1"/>
    <col min="3091" max="3091" width="19.7109375" style="5" customWidth="1"/>
    <col min="3092" max="3330" width="9.140625" style="5"/>
    <col min="3331" max="3331" width="10.42578125" style="5" bestFit="1" customWidth="1"/>
    <col min="3332" max="3332" width="13.42578125" style="5" customWidth="1"/>
    <col min="3333" max="3333" width="12.42578125" style="5" customWidth="1"/>
    <col min="3334" max="3334" width="12.5703125" style="5" customWidth="1"/>
    <col min="3335" max="3337" width="13" style="5" customWidth="1"/>
    <col min="3338" max="3338" width="14.7109375" style="5" customWidth="1"/>
    <col min="3339" max="3342" width="9.28515625" style="5" hidden="1" customWidth="1"/>
    <col min="3343" max="3346" width="11.28515625" style="5" customWidth="1"/>
    <col min="3347" max="3347" width="19.7109375" style="5" customWidth="1"/>
    <col min="3348" max="3586" width="9.140625" style="5"/>
    <col min="3587" max="3587" width="10.42578125" style="5" bestFit="1" customWidth="1"/>
    <col min="3588" max="3588" width="13.42578125" style="5" customWidth="1"/>
    <col min="3589" max="3589" width="12.42578125" style="5" customWidth="1"/>
    <col min="3590" max="3590" width="12.5703125" style="5" customWidth="1"/>
    <col min="3591" max="3593" width="13" style="5" customWidth="1"/>
    <col min="3594" max="3594" width="14.7109375" style="5" customWidth="1"/>
    <col min="3595" max="3598" width="9.28515625" style="5" hidden="1" customWidth="1"/>
    <col min="3599" max="3602" width="11.28515625" style="5" customWidth="1"/>
    <col min="3603" max="3603" width="19.7109375" style="5" customWidth="1"/>
    <col min="3604" max="3842" width="9.140625" style="5"/>
    <col min="3843" max="3843" width="10.42578125" style="5" bestFit="1" customWidth="1"/>
    <col min="3844" max="3844" width="13.42578125" style="5" customWidth="1"/>
    <col min="3845" max="3845" width="12.42578125" style="5" customWidth="1"/>
    <col min="3846" max="3846" width="12.5703125" style="5" customWidth="1"/>
    <col min="3847" max="3849" width="13" style="5" customWidth="1"/>
    <col min="3850" max="3850" width="14.7109375" style="5" customWidth="1"/>
    <col min="3851" max="3854" width="9.28515625" style="5" hidden="1" customWidth="1"/>
    <col min="3855" max="3858" width="11.28515625" style="5" customWidth="1"/>
    <col min="3859" max="3859" width="19.7109375" style="5" customWidth="1"/>
    <col min="3860" max="4098" width="9.140625" style="5"/>
    <col min="4099" max="4099" width="10.42578125" style="5" bestFit="1" customWidth="1"/>
    <col min="4100" max="4100" width="13.42578125" style="5" customWidth="1"/>
    <col min="4101" max="4101" width="12.42578125" style="5" customWidth="1"/>
    <col min="4102" max="4102" width="12.5703125" style="5" customWidth="1"/>
    <col min="4103" max="4105" width="13" style="5" customWidth="1"/>
    <col min="4106" max="4106" width="14.7109375" style="5" customWidth="1"/>
    <col min="4107" max="4110" width="9.28515625" style="5" hidden="1" customWidth="1"/>
    <col min="4111" max="4114" width="11.28515625" style="5" customWidth="1"/>
    <col min="4115" max="4115" width="19.7109375" style="5" customWidth="1"/>
    <col min="4116" max="4354" width="9.140625" style="5"/>
    <col min="4355" max="4355" width="10.42578125" style="5" bestFit="1" customWidth="1"/>
    <col min="4356" max="4356" width="13.42578125" style="5" customWidth="1"/>
    <col min="4357" max="4357" width="12.42578125" style="5" customWidth="1"/>
    <col min="4358" max="4358" width="12.5703125" style="5" customWidth="1"/>
    <col min="4359" max="4361" width="13" style="5" customWidth="1"/>
    <col min="4362" max="4362" width="14.7109375" style="5" customWidth="1"/>
    <col min="4363" max="4366" width="9.28515625" style="5" hidden="1" customWidth="1"/>
    <col min="4367" max="4370" width="11.28515625" style="5" customWidth="1"/>
    <col min="4371" max="4371" width="19.7109375" style="5" customWidth="1"/>
    <col min="4372" max="4610" width="9.140625" style="5"/>
    <col min="4611" max="4611" width="10.42578125" style="5" bestFit="1" customWidth="1"/>
    <col min="4612" max="4612" width="13.42578125" style="5" customWidth="1"/>
    <col min="4613" max="4613" width="12.42578125" style="5" customWidth="1"/>
    <col min="4614" max="4614" width="12.5703125" style="5" customWidth="1"/>
    <col min="4615" max="4617" width="13" style="5" customWidth="1"/>
    <col min="4618" max="4618" width="14.7109375" style="5" customWidth="1"/>
    <col min="4619" max="4622" width="9.28515625" style="5" hidden="1" customWidth="1"/>
    <col min="4623" max="4626" width="11.28515625" style="5" customWidth="1"/>
    <col min="4627" max="4627" width="19.7109375" style="5" customWidth="1"/>
    <col min="4628" max="4866" width="9.140625" style="5"/>
    <col min="4867" max="4867" width="10.42578125" style="5" bestFit="1" customWidth="1"/>
    <col min="4868" max="4868" width="13.42578125" style="5" customWidth="1"/>
    <col min="4869" max="4869" width="12.42578125" style="5" customWidth="1"/>
    <col min="4870" max="4870" width="12.5703125" style="5" customWidth="1"/>
    <col min="4871" max="4873" width="13" style="5" customWidth="1"/>
    <col min="4874" max="4874" width="14.7109375" style="5" customWidth="1"/>
    <col min="4875" max="4878" width="9.28515625" style="5" hidden="1" customWidth="1"/>
    <col min="4879" max="4882" width="11.28515625" style="5" customWidth="1"/>
    <col min="4883" max="4883" width="19.7109375" style="5" customWidth="1"/>
    <col min="4884" max="5122" width="9.140625" style="5"/>
    <col min="5123" max="5123" width="10.42578125" style="5" bestFit="1" customWidth="1"/>
    <col min="5124" max="5124" width="13.42578125" style="5" customWidth="1"/>
    <col min="5125" max="5125" width="12.42578125" style="5" customWidth="1"/>
    <col min="5126" max="5126" width="12.5703125" style="5" customWidth="1"/>
    <col min="5127" max="5129" width="13" style="5" customWidth="1"/>
    <col min="5130" max="5130" width="14.7109375" style="5" customWidth="1"/>
    <col min="5131" max="5134" width="9.28515625" style="5" hidden="1" customWidth="1"/>
    <col min="5135" max="5138" width="11.28515625" style="5" customWidth="1"/>
    <col min="5139" max="5139" width="19.7109375" style="5" customWidth="1"/>
    <col min="5140" max="5378" width="9.140625" style="5"/>
    <col min="5379" max="5379" width="10.42578125" style="5" bestFit="1" customWidth="1"/>
    <col min="5380" max="5380" width="13.42578125" style="5" customWidth="1"/>
    <col min="5381" max="5381" width="12.42578125" style="5" customWidth="1"/>
    <col min="5382" max="5382" width="12.5703125" style="5" customWidth="1"/>
    <col min="5383" max="5385" width="13" style="5" customWidth="1"/>
    <col min="5386" max="5386" width="14.7109375" style="5" customWidth="1"/>
    <col min="5387" max="5390" width="9.28515625" style="5" hidden="1" customWidth="1"/>
    <col min="5391" max="5394" width="11.28515625" style="5" customWidth="1"/>
    <col min="5395" max="5395" width="19.7109375" style="5" customWidth="1"/>
    <col min="5396" max="5634" width="9.140625" style="5"/>
    <col min="5635" max="5635" width="10.42578125" style="5" bestFit="1" customWidth="1"/>
    <col min="5636" max="5636" width="13.42578125" style="5" customWidth="1"/>
    <col min="5637" max="5637" width="12.42578125" style="5" customWidth="1"/>
    <col min="5638" max="5638" width="12.5703125" style="5" customWidth="1"/>
    <col min="5639" max="5641" width="13" style="5" customWidth="1"/>
    <col min="5642" max="5642" width="14.7109375" style="5" customWidth="1"/>
    <col min="5643" max="5646" width="9.28515625" style="5" hidden="1" customWidth="1"/>
    <col min="5647" max="5650" width="11.28515625" style="5" customWidth="1"/>
    <col min="5651" max="5651" width="19.7109375" style="5" customWidth="1"/>
    <col min="5652" max="5890" width="9.140625" style="5"/>
    <col min="5891" max="5891" width="10.42578125" style="5" bestFit="1" customWidth="1"/>
    <col min="5892" max="5892" width="13.42578125" style="5" customWidth="1"/>
    <col min="5893" max="5893" width="12.42578125" style="5" customWidth="1"/>
    <col min="5894" max="5894" width="12.5703125" style="5" customWidth="1"/>
    <col min="5895" max="5897" width="13" style="5" customWidth="1"/>
    <col min="5898" max="5898" width="14.7109375" style="5" customWidth="1"/>
    <col min="5899" max="5902" width="9.28515625" style="5" hidden="1" customWidth="1"/>
    <col min="5903" max="5906" width="11.28515625" style="5" customWidth="1"/>
    <col min="5907" max="5907" width="19.7109375" style="5" customWidth="1"/>
    <col min="5908" max="6146" width="9.140625" style="5"/>
    <col min="6147" max="6147" width="10.42578125" style="5" bestFit="1" customWidth="1"/>
    <col min="6148" max="6148" width="13.42578125" style="5" customWidth="1"/>
    <col min="6149" max="6149" width="12.42578125" style="5" customWidth="1"/>
    <col min="6150" max="6150" width="12.5703125" style="5" customWidth="1"/>
    <col min="6151" max="6153" width="13" style="5" customWidth="1"/>
    <col min="6154" max="6154" width="14.7109375" style="5" customWidth="1"/>
    <col min="6155" max="6158" width="9.28515625" style="5" hidden="1" customWidth="1"/>
    <col min="6159" max="6162" width="11.28515625" style="5" customWidth="1"/>
    <col min="6163" max="6163" width="19.7109375" style="5" customWidth="1"/>
    <col min="6164" max="6402" width="9.140625" style="5"/>
    <col min="6403" max="6403" width="10.42578125" style="5" bestFit="1" customWidth="1"/>
    <col min="6404" max="6404" width="13.42578125" style="5" customWidth="1"/>
    <col min="6405" max="6405" width="12.42578125" style="5" customWidth="1"/>
    <col min="6406" max="6406" width="12.5703125" style="5" customWidth="1"/>
    <col min="6407" max="6409" width="13" style="5" customWidth="1"/>
    <col min="6410" max="6410" width="14.7109375" style="5" customWidth="1"/>
    <col min="6411" max="6414" width="9.28515625" style="5" hidden="1" customWidth="1"/>
    <col min="6415" max="6418" width="11.28515625" style="5" customWidth="1"/>
    <col min="6419" max="6419" width="19.7109375" style="5" customWidth="1"/>
    <col min="6420" max="6658" width="9.140625" style="5"/>
    <col min="6659" max="6659" width="10.42578125" style="5" bestFit="1" customWidth="1"/>
    <col min="6660" max="6660" width="13.42578125" style="5" customWidth="1"/>
    <col min="6661" max="6661" width="12.42578125" style="5" customWidth="1"/>
    <col min="6662" max="6662" width="12.5703125" style="5" customWidth="1"/>
    <col min="6663" max="6665" width="13" style="5" customWidth="1"/>
    <col min="6666" max="6666" width="14.7109375" style="5" customWidth="1"/>
    <col min="6667" max="6670" width="9.28515625" style="5" hidden="1" customWidth="1"/>
    <col min="6671" max="6674" width="11.28515625" style="5" customWidth="1"/>
    <col min="6675" max="6675" width="19.7109375" style="5" customWidth="1"/>
    <col min="6676" max="6914" width="9.140625" style="5"/>
    <col min="6915" max="6915" width="10.42578125" style="5" bestFit="1" customWidth="1"/>
    <col min="6916" max="6916" width="13.42578125" style="5" customWidth="1"/>
    <col min="6917" max="6917" width="12.42578125" style="5" customWidth="1"/>
    <col min="6918" max="6918" width="12.5703125" style="5" customWidth="1"/>
    <col min="6919" max="6921" width="13" style="5" customWidth="1"/>
    <col min="6922" max="6922" width="14.7109375" style="5" customWidth="1"/>
    <col min="6923" max="6926" width="9.28515625" style="5" hidden="1" customWidth="1"/>
    <col min="6927" max="6930" width="11.28515625" style="5" customWidth="1"/>
    <col min="6931" max="6931" width="19.7109375" style="5" customWidth="1"/>
    <col min="6932" max="7170" width="9.140625" style="5"/>
    <col min="7171" max="7171" width="10.42578125" style="5" bestFit="1" customWidth="1"/>
    <col min="7172" max="7172" width="13.42578125" style="5" customWidth="1"/>
    <col min="7173" max="7173" width="12.42578125" style="5" customWidth="1"/>
    <col min="7174" max="7174" width="12.5703125" style="5" customWidth="1"/>
    <col min="7175" max="7177" width="13" style="5" customWidth="1"/>
    <col min="7178" max="7178" width="14.7109375" style="5" customWidth="1"/>
    <col min="7179" max="7182" width="9.28515625" style="5" hidden="1" customWidth="1"/>
    <col min="7183" max="7186" width="11.28515625" style="5" customWidth="1"/>
    <col min="7187" max="7187" width="19.7109375" style="5" customWidth="1"/>
    <col min="7188" max="7426" width="9.140625" style="5"/>
    <col min="7427" max="7427" width="10.42578125" style="5" bestFit="1" customWidth="1"/>
    <col min="7428" max="7428" width="13.42578125" style="5" customWidth="1"/>
    <col min="7429" max="7429" width="12.42578125" style="5" customWidth="1"/>
    <col min="7430" max="7430" width="12.5703125" style="5" customWidth="1"/>
    <col min="7431" max="7433" width="13" style="5" customWidth="1"/>
    <col min="7434" max="7434" width="14.7109375" style="5" customWidth="1"/>
    <col min="7435" max="7438" width="9.28515625" style="5" hidden="1" customWidth="1"/>
    <col min="7439" max="7442" width="11.28515625" style="5" customWidth="1"/>
    <col min="7443" max="7443" width="19.7109375" style="5" customWidth="1"/>
    <col min="7444" max="7682" width="9.140625" style="5"/>
    <col min="7683" max="7683" width="10.42578125" style="5" bestFit="1" customWidth="1"/>
    <col min="7684" max="7684" width="13.42578125" style="5" customWidth="1"/>
    <col min="7685" max="7685" width="12.42578125" style="5" customWidth="1"/>
    <col min="7686" max="7686" width="12.5703125" style="5" customWidth="1"/>
    <col min="7687" max="7689" width="13" style="5" customWidth="1"/>
    <col min="7690" max="7690" width="14.7109375" style="5" customWidth="1"/>
    <col min="7691" max="7694" width="9.28515625" style="5" hidden="1" customWidth="1"/>
    <col min="7695" max="7698" width="11.28515625" style="5" customWidth="1"/>
    <col min="7699" max="7699" width="19.7109375" style="5" customWidth="1"/>
    <col min="7700" max="7938" width="9.140625" style="5"/>
    <col min="7939" max="7939" width="10.42578125" style="5" bestFit="1" customWidth="1"/>
    <col min="7940" max="7940" width="13.42578125" style="5" customWidth="1"/>
    <col min="7941" max="7941" width="12.42578125" style="5" customWidth="1"/>
    <col min="7942" max="7942" width="12.5703125" style="5" customWidth="1"/>
    <col min="7943" max="7945" width="13" style="5" customWidth="1"/>
    <col min="7946" max="7946" width="14.7109375" style="5" customWidth="1"/>
    <col min="7947" max="7950" width="9.28515625" style="5" hidden="1" customWidth="1"/>
    <col min="7951" max="7954" width="11.28515625" style="5" customWidth="1"/>
    <col min="7955" max="7955" width="19.7109375" style="5" customWidth="1"/>
    <col min="7956" max="8194" width="9.140625" style="5"/>
    <col min="8195" max="8195" width="10.42578125" style="5" bestFit="1" customWidth="1"/>
    <col min="8196" max="8196" width="13.42578125" style="5" customWidth="1"/>
    <col min="8197" max="8197" width="12.42578125" style="5" customWidth="1"/>
    <col min="8198" max="8198" width="12.5703125" style="5" customWidth="1"/>
    <col min="8199" max="8201" width="13" style="5" customWidth="1"/>
    <col min="8202" max="8202" width="14.7109375" style="5" customWidth="1"/>
    <col min="8203" max="8206" width="9.28515625" style="5" hidden="1" customWidth="1"/>
    <col min="8207" max="8210" width="11.28515625" style="5" customWidth="1"/>
    <col min="8211" max="8211" width="19.7109375" style="5" customWidth="1"/>
    <col min="8212" max="8450" width="9.140625" style="5"/>
    <col min="8451" max="8451" width="10.42578125" style="5" bestFit="1" customWidth="1"/>
    <col min="8452" max="8452" width="13.42578125" style="5" customWidth="1"/>
    <col min="8453" max="8453" width="12.42578125" style="5" customWidth="1"/>
    <col min="8454" max="8454" width="12.5703125" style="5" customWidth="1"/>
    <col min="8455" max="8457" width="13" style="5" customWidth="1"/>
    <col min="8458" max="8458" width="14.7109375" style="5" customWidth="1"/>
    <col min="8459" max="8462" width="9.28515625" style="5" hidden="1" customWidth="1"/>
    <col min="8463" max="8466" width="11.28515625" style="5" customWidth="1"/>
    <col min="8467" max="8467" width="19.7109375" style="5" customWidth="1"/>
    <col min="8468" max="8706" width="9.140625" style="5"/>
    <col min="8707" max="8707" width="10.42578125" style="5" bestFit="1" customWidth="1"/>
    <col min="8708" max="8708" width="13.42578125" style="5" customWidth="1"/>
    <col min="8709" max="8709" width="12.42578125" style="5" customWidth="1"/>
    <col min="8710" max="8710" width="12.5703125" style="5" customWidth="1"/>
    <col min="8711" max="8713" width="13" style="5" customWidth="1"/>
    <col min="8714" max="8714" width="14.7109375" style="5" customWidth="1"/>
    <col min="8715" max="8718" width="9.28515625" style="5" hidden="1" customWidth="1"/>
    <col min="8719" max="8722" width="11.28515625" style="5" customWidth="1"/>
    <col min="8723" max="8723" width="19.7109375" style="5" customWidth="1"/>
    <col min="8724" max="8962" width="9.140625" style="5"/>
    <col min="8963" max="8963" width="10.42578125" style="5" bestFit="1" customWidth="1"/>
    <col min="8964" max="8964" width="13.42578125" style="5" customWidth="1"/>
    <col min="8965" max="8965" width="12.42578125" style="5" customWidth="1"/>
    <col min="8966" max="8966" width="12.5703125" style="5" customWidth="1"/>
    <col min="8967" max="8969" width="13" style="5" customWidth="1"/>
    <col min="8970" max="8970" width="14.7109375" style="5" customWidth="1"/>
    <col min="8971" max="8974" width="9.28515625" style="5" hidden="1" customWidth="1"/>
    <col min="8975" max="8978" width="11.28515625" style="5" customWidth="1"/>
    <col min="8979" max="8979" width="19.7109375" style="5" customWidth="1"/>
    <col min="8980" max="9218" width="9.140625" style="5"/>
    <col min="9219" max="9219" width="10.42578125" style="5" bestFit="1" customWidth="1"/>
    <col min="9220" max="9220" width="13.42578125" style="5" customWidth="1"/>
    <col min="9221" max="9221" width="12.42578125" style="5" customWidth="1"/>
    <col min="9222" max="9222" width="12.5703125" style="5" customWidth="1"/>
    <col min="9223" max="9225" width="13" style="5" customWidth="1"/>
    <col min="9226" max="9226" width="14.7109375" style="5" customWidth="1"/>
    <col min="9227" max="9230" width="9.28515625" style="5" hidden="1" customWidth="1"/>
    <col min="9231" max="9234" width="11.28515625" style="5" customWidth="1"/>
    <col min="9235" max="9235" width="19.7109375" style="5" customWidth="1"/>
    <col min="9236" max="9474" width="9.140625" style="5"/>
    <col min="9475" max="9475" width="10.42578125" style="5" bestFit="1" customWidth="1"/>
    <col min="9476" max="9476" width="13.42578125" style="5" customWidth="1"/>
    <col min="9477" max="9477" width="12.42578125" style="5" customWidth="1"/>
    <col min="9478" max="9478" width="12.5703125" style="5" customWidth="1"/>
    <col min="9479" max="9481" width="13" style="5" customWidth="1"/>
    <col min="9482" max="9482" width="14.7109375" style="5" customWidth="1"/>
    <col min="9483" max="9486" width="9.28515625" style="5" hidden="1" customWidth="1"/>
    <col min="9487" max="9490" width="11.28515625" style="5" customWidth="1"/>
    <col min="9491" max="9491" width="19.7109375" style="5" customWidth="1"/>
    <col min="9492" max="9730" width="9.140625" style="5"/>
    <col min="9731" max="9731" width="10.42578125" style="5" bestFit="1" customWidth="1"/>
    <col min="9732" max="9732" width="13.42578125" style="5" customWidth="1"/>
    <col min="9733" max="9733" width="12.42578125" style="5" customWidth="1"/>
    <col min="9734" max="9734" width="12.5703125" style="5" customWidth="1"/>
    <col min="9735" max="9737" width="13" style="5" customWidth="1"/>
    <col min="9738" max="9738" width="14.7109375" style="5" customWidth="1"/>
    <col min="9739" max="9742" width="9.28515625" style="5" hidden="1" customWidth="1"/>
    <col min="9743" max="9746" width="11.28515625" style="5" customWidth="1"/>
    <col min="9747" max="9747" width="19.7109375" style="5" customWidth="1"/>
    <col min="9748" max="9986" width="9.140625" style="5"/>
    <col min="9987" max="9987" width="10.42578125" style="5" bestFit="1" customWidth="1"/>
    <col min="9988" max="9988" width="13.42578125" style="5" customWidth="1"/>
    <col min="9989" max="9989" width="12.42578125" style="5" customWidth="1"/>
    <col min="9990" max="9990" width="12.5703125" style="5" customWidth="1"/>
    <col min="9991" max="9993" width="13" style="5" customWidth="1"/>
    <col min="9994" max="9994" width="14.7109375" style="5" customWidth="1"/>
    <col min="9995" max="9998" width="9.28515625" style="5" hidden="1" customWidth="1"/>
    <col min="9999" max="10002" width="11.28515625" style="5" customWidth="1"/>
    <col min="10003" max="10003" width="19.7109375" style="5" customWidth="1"/>
    <col min="10004" max="10242" width="9.140625" style="5"/>
    <col min="10243" max="10243" width="10.42578125" style="5" bestFit="1" customWidth="1"/>
    <col min="10244" max="10244" width="13.42578125" style="5" customWidth="1"/>
    <col min="10245" max="10245" width="12.42578125" style="5" customWidth="1"/>
    <col min="10246" max="10246" width="12.5703125" style="5" customWidth="1"/>
    <col min="10247" max="10249" width="13" style="5" customWidth="1"/>
    <col min="10250" max="10250" width="14.7109375" style="5" customWidth="1"/>
    <col min="10251" max="10254" width="9.28515625" style="5" hidden="1" customWidth="1"/>
    <col min="10255" max="10258" width="11.28515625" style="5" customWidth="1"/>
    <col min="10259" max="10259" width="19.7109375" style="5" customWidth="1"/>
    <col min="10260" max="10498" width="9.140625" style="5"/>
    <col min="10499" max="10499" width="10.42578125" style="5" bestFit="1" customWidth="1"/>
    <col min="10500" max="10500" width="13.42578125" style="5" customWidth="1"/>
    <col min="10501" max="10501" width="12.42578125" style="5" customWidth="1"/>
    <col min="10502" max="10502" width="12.5703125" style="5" customWidth="1"/>
    <col min="10503" max="10505" width="13" style="5" customWidth="1"/>
    <col min="10506" max="10506" width="14.7109375" style="5" customWidth="1"/>
    <col min="10507" max="10510" width="9.28515625" style="5" hidden="1" customWidth="1"/>
    <col min="10511" max="10514" width="11.28515625" style="5" customWidth="1"/>
    <col min="10515" max="10515" width="19.7109375" style="5" customWidth="1"/>
    <col min="10516" max="10754" width="9.140625" style="5"/>
    <col min="10755" max="10755" width="10.42578125" style="5" bestFit="1" customWidth="1"/>
    <col min="10756" max="10756" width="13.42578125" style="5" customWidth="1"/>
    <col min="10757" max="10757" width="12.42578125" style="5" customWidth="1"/>
    <col min="10758" max="10758" width="12.5703125" style="5" customWidth="1"/>
    <col min="10759" max="10761" width="13" style="5" customWidth="1"/>
    <col min="10762" max="10762" width="14.7109375" style="5" customWidth="1"/>
    <col min="10763" max="10766" width="9.28515625" style="5" hidden="1" customWidth="1"/>
    <col min="10767" max="10770" width="11.28515625" style="5" customWidth="1"/>
    <col min="10771" max="10771" width="19.7109375" style="5" customWidth="1"/>
    <col min="10772" max="11010" width="9.140625" style="5"/>
    <col min="11011" max="11011" width="10.42578125" style="5" bestFit="1" customWidth="1"/>
    <col min="11012" max="11012" width="13.42578125" style="5" customWidth="1"/>
    <col min="11013" max="11013" width="12.42578125" style="5" customWidth="1"/>
    <col min="11014" max="11014" width="12.5703125" style="5" customWidth="1"/>
    <col min="11015" max="11017" width="13" style="5" customWidth="1"/>
    <col min="11018" max="11018" width="14.7109375" style="5" customWidth="1"/>
    <col min="11019" max="11022" width="9.28515625" style="5" hidden="1" customWidth="1"/>
    <col min="11023" max="11026" width="11.28515625" style="5" customWidth="1"/>
    <col min="11027" max="11027" width="19.7109375" style="5" customWidth="1"/>
    <col min="11028" max="11266" width="9.140625" style="5"/>
    <col min="11267" max="11267" width="10.42578125" style="5" bestFit="1" customWidth="1"/>
    <col min="11268" max="11268" width="13.42578125" style="5" customWidth="1"/>
    <col min="11269" max="11269" width="12.42578125" style="5" customWidth="1"/>
    <col min="11270" max="11270" width="12.5703125" style="5" customWidth="1"/>
    <col min="11271" max="11273" width="13" style="5" customWidth="1"/>
    <col min="11274" max="11274" width="14.7109375" style="5" customWidth="1"/>
    <col min="11275" max="11278" width="9.28515625" style="5" hidden="1" customWidth="1"/>
    <col min="11279" max="11282" width="11.28515625" style="5" customWidth="1"/>
    <col min="11283" max="11283" width="19.7109375" style="5" customWidth="1"/>
    <col min="11284" max="11522" width="9.140625" style="5"/>
    <col min="11523" max="11523" width="10.42578125" style="5" bestFit="1" customWidth="1"/>
    <col min="11524" max="11524" width="13.42578125" style="5" customWidth="1"/>
    <col min="11525" max="11525" width="12.42578125" style="5" customWidth="1"/>
    <col min="11526" max="11526" width="12.5703125" style="5" customWidth="1"/>
    <col min="11527" max="11529" width="13" style="5" customWidth="1"/>
    <col min="11530" max="11530" width="14.7109375" style="5" customWidth="1"/>
    <col min="11531" max="11534" width="9.28515625" style="5" hidden="1" customWidth="1"/>
    <col min="11535" max="11538" width="11.28515625" style="5" customWidth="1"/>
    <col min="11539" max="11539" width="19.7109375" style="5" customWidth="1"/>
    <col min="11540" max="11778" width="9.140625" style="5"/>
    <col min="11779" max="11779" width="10.42578125" style="5" bestFit="1" customWidth="1"/>
    <col min="11780" max="11780" width="13.42578125" style="5" customWidth="1"/>
    <col min="11781" max="11781" width="12.42578125" style="5" customWidth="1"/>
    <col min="11782" max="11782" width="12.5703125" style="5" customWidth="1"/>
    <col min="11783" max="11785" width="13" style="5" customWidth="1"/>
    <col min="11786" max="11786" width="14.7109375" style="5" customWidth="1"/>
    <col min="11787" max="11790" width="9.28515625" style="5" hidden="1" customWidth="1"/>
    <col min="11791" max="11794" width="11.28515625" style="5" customWidth="1"/>
    <col min="11795" max="11795" width="19.7109375" style="5" customWidth="1"/>
    <col min="11796" max="12034" width="9.140625" style="5"/>
    <col min="12035" max="12035" width="10.42578125" style="5" bestFit="1" customWidth="1"/>
    <col min="12036" max="12036" width="13.42578125" style="5" customWidth="1"/>
    <col min="12037" max="12037" width="12.42578125" style="5" customWidth="1"/>
    <col min="12038" max="12038" width="12.5703125" style="5" customWidth="1"/>
    <col min="12039" max="12041" width="13" style="5" customWidth="1"/>
    <col min="12042" max="12042" width="14.7109375" style="5" customWidth="1"/>
    <col min="12043" max="12046" width="9.28515625" style="5" hidden="1" customWidth="1"/>
    <col min="12047" max="12050" width="11.28515625" style="5" customWidth="1"/>
    <col min="12051" max="12051" width="19.7109375" style="5" customWidth="1"/>
    <col min="12052" max="12290" width="9.140625" style="5"/>
    <col min="12291" max="12291" width="10.42578125" style="5" bestFit="1" customWidth="1"/>
    <col min="12292" max="12292" width="13.42578125" style="5" customWidth="1"/>
    <col min="12293" max="12293" width="12.42578125" style="5" customWidth="1"/>
    <col min="12294" max="12294" width="12.5703125" style="5" customWidth="1"/>
    <col min="12295" max="12297" width="13" style="5" customWidth="1"/>
    <col min="12298" max="12298" width="14.7109375" style="5" customWidth="1"/>
    <col min="12299" max="12302" width="9.28515625" style="5" hidden="1" customWidth="1"/>
    <col min="12303" max="12306" width="11.28515625" style="5" customWidth="1"/>
    <col min="12307" max="12307" width="19.7109375" style="5" customWidth="1"/>
    <col min="12308" max="12546" width="9.140625" style="5"/>
    <col min="12547" max="12547" width="10.42578125" style="5" bestFit="1" customWidth="1"/>
    <col min="12548" max="12548" width="13.42578125" style="5" customWidth="1"/>
    <col min="12549" max="12549" width="12.42578125" style="5" customWidth="1"/>
    <col min="12550" max="12550" width="12.5703125" style="5" customWidth="1"/>
    <col min="12551" max="12553" width="13" style="5" customWidth="1"/>
    <col min="12554" max="12554" width="14.7109375" style="5" customWidth="1"/>
    <col min="12555" max="12558" width="9.28515625" style="5" hidden="1" customWidth="1"/>
    <col min="12559" max="12562" width="11.28515625" style="5" customWidth="1"/>
    <col min="12563" max="12563" width="19.7109375" style="5" customWidth="1"/>
    <col min="12564" max="12802" width="9.140625" style="5"/>
    <col min="12803" max="12803" width="10.42578125" style="5" bestFit="1" customWidth="1"/>
    <col min="12804" max="12804" width="13.42578125" style="5" customWidth="1"/>
    <col min="12805" max="12805" width="12.42578125" style="5" customWidth="1"/>
    <col min="12806" max="12806" width="12.5703125" style="5" customWidth="1"/>
    <col min="12807" max="12809" width="13" style="5" customWidth="1"/>
    <col min="12810" max="12810" width="14.7109375" style="5" customWidth="1"/>
    <col min="12811" max="12814" width="9.28515625" style="5" hidden="1" customWidth="1"/>
    <col min="12815" max="12818" width="11.28515625" style="5" customWidth="1"/>
    <col min="12819" max="12819" width="19.7109375" style="5" customWidth="1"/>
    <col min="12820" max="13058" width="9.140625" style="5"/>
    <col min="13059" max="13059" width="10.42578125" style="5" bestFit="1" customWidth="1"/>
    <col min="13060" max="13060" width="13.42578125" style="5" customWidth="1"/>
    <col min="13061" max="13061" width="12.42578125" style="5" customWidth="1"/>
    <col min="13062" max="13062" width="12.5703125" style="5" customWidth="1"/>
    <col min="13063" max="13065" width="13" style="5" customWidth="1"/>
    <col min="13066" max="13066" width="14.7109375" style="5" customWidth="1"/>
    <col min="13067" max="13070" width="9.28515625" style="5" hidden="1" customWidth="1"/>
    <col min="13071" max="13074" width="11.28515625" style="5" customWidth="1"/>
    <col min="13075" max="13075" width="19.7109375" style="5" customWidth="1"/>
    <col min="13076" max="13314" width="9.140625" style="5"/>
    <col min="13315" max="13315" width="10.42578125" style="5" bestFit="1" customWidth="1"/>
    <col min="13316" max="13316" width="13.42578125" style="5" customWidth="1"/>
    <col min="13317" max="13317" width="12.42578125" style="5" customWidth="1"/>
    <col min="13318" max="13318" width="12.5703125" style="5" customWidth="1"/>
    <col min="13319" max="13321" width="13" style="5" customWidth="1"/>
    <col min="13322" max="13322" width="14.7109375" style="5" customWidth="1"/>
    <col min="13323" max="13326" width="9.28515625" style="5" hidden="1" customWidth="1"/>
    <col min="13327" max="13330" width="11.28515625" style="5" customWidth="1"/>
    <col min="13331" max="13331" width="19.7109375" style="5" customWidth="1"/>
    <col min="13332" max="13570" width="9.140625" style="5"/>
    <col min="13571" max="13571" width="10.42578125" style="5" bestFit="1" customWidth="1"/>
    <col min="13572" max="13572" width="13.42578125" style="5" customWidth="1"/>
    <col min="13573" max="13573" width="12.42578125" style="5" customWidth="1"/>
    <col min="13574" max="13574" width="12.5703125" style="5" customWidth="1"/>
    <col min="13575" max="13577" width="13" style="5" customWidth="1"/>
    <col min="13578" max="13578" width="14.7109375" style="5" customWidth="1"/>
    <col min="13579" max="13582" width="9.28515625" style="5" hidden="1" customWidth="1"/>
    <col min="13583" max="13586" width="11.28515625" style="5" customWidth="1"/>
    <col min="13587" max="13587" width="19.7109375" style="5" customWidth="1"/>
    <col min="13588" max="13826" width="9.140625" style="5"/>
    <col min="13827" max="13827" width="10.42578125" style="5" bestFit="1" customWidth="1"/>
    <col min="13828" max="13828" width="13.42578125" style="5" customWidth="1"/>
    <col min="13829" max="13829" width="12.42578125" style="5" customWidth="1"/>
    <col min="13830" max="13830" width="12.5703125" style="5" customWidth="1"/>
    <col min="13831" max="13833" width="13" style="5" customWidth="1"/>
    <col min="13834" max="13834" width="14.7109375" style="5" customWidth="1"/>
    <col min="13835" max="13838" width="9.28515625" style="5" hidden="1" customWidth="1"/>
    <col min="13839" max="13842" width="11.28515625" style="5" customWidth="1"/>
    <col min="13843" max="13843" width="19.7109375" style="5" customWidth="1"/>
    <col min="13844" max="14082" width="9.140625" style="5"/>
    <col min="14083" max="14083" width="10.42578125" style="5" bestFit="1" customWidth="1"/>
    <col min="14084" max="14084" width="13.42578125" style="5" customWidth="1"/>
    <col min="14085" max="14085" width="12.42578125" style="5" customWidth="1"/>
    <col min="14086" max="14086" width="12.5703125" style="5" customWidth="1"/>
    <col min="14087" max="14089" width="13" style="5" customWidth="1"/>
    <col min="14090" max="14090" width="14.7109375" style="5" customWidth="1"/>
    <col min="14091" max="14094" width="9.28515625" style="5" hidden="1" customWidth="1"/>
    <col min="14095" max="14098" width="11.28515625" style="5" customWidth="1"/>
    <col min="14099" max="14099" width="19.7109375" style="5" customWidth="1"/>
    <col min="14100" max="14338" width="9.140625" style="5"/>
    <col min="14339" max="14339" width="10.42578125" style="5" bestFit="1" customWidth="1"/>
    <col min="14340" max="14340" width="13.42578125" style="5" customWidth="1"/>
    <col min="14341" max="14341" width="12.42578125" style="5" customWidth="1"/>
    <col min="14342" max="14342" width="12.5703125" style="5" customWidth="1"/>
    <col min="14343" max="14345" width="13" style="5" customWidth="1"/>
    <col min="14346" max="14346" width="14.7109375" style="5" customWidth="1"/>
    <col min="14347" max="14350" width="9.28515625" style="5" hidden="1" customWidth="1"/>
    <col min="14351" max="14354" width="11.28515625" style="5" customWidth="1"/>
    <col min="14355" max="14355" width="19.7109375" style="5" customWidth="1"/>
    <col min="14356" max="14594" width="9.140625" style="5"/>
    <col min="14595" max="14595" width="10.42578125" style="5" bestFit="1" customWidth="1"/>
    <col min="14596" max="14596" width="13.42578125" style="5" customWidth="1"/>
    <col min="14597" max="14597" width="12.42578125" style="5" customWidth="1"/>
    <col min="14598" max="14598" width="12.5703125" style="5" customWidth="1"/>
    <col min="14599" max="14601" width="13" style="5" customWidth="1"/>
    <col min="14602" max="14602" width="14.7109375" style="5" customWidth="1"/>
    <col min="14603" max="14606" width="9.28515625" style="5" hidden="1" customWidth="1"/>
    <col min="14607" max="14610" width="11.28515625" style="5" customWidth="1"/>
    <col min="14611" max="14611" width="19.7109375" style="5" customWidth="1"/>
    <col min="14612" max="14850" width="9.140625" style="5"/>
    <col min="14851" max="14851" width="10.42578125" style="5" bestFit="1" customWidth="1"/>
    <col min="14852" max="14852" width="13.42578125" style="5" customWidth="1"/>
    <col min="14853" max="14853" width="12.42578125" style="5" customWidth="1"/>
    <col min="14854" max="14854" width="12.5703125" style="5" customWidth="1"/>
    <col min="14855" max="14857" width="13" style="5" customWidth="1"/>
    <col min="14858" max="14858" width="14.7109375" style="5" customWidth="1"/>
    <col min="14859" max="14862" width="9.28515625" style="5" hidden="1" customWidth="1"/>
    <col min="14863" max="14866" width="11.28515625" style="5" customWidth="1"/>
    <col min="14867" max="14867" width="19.7109375" style="5" customWidth="1"/>
    <col min="14868" max="15106" width="9.140625" style="5"/>
    <col min="15107" max="15107" width="10.42578125" style="5" bestFit="1" customWidth="1"/>
    <col min="15108" max="15108" width="13.42578125" style="5" customWidth="1"/>
    <col min="15109" max="15109" width="12.42578125" style="5" customWidth="1"/>
    <col min="15110" max="15110" width="12.5703125" style="5" customWidth="1"/>
    <col min="15111" max="15113" width="13" style="5" customWidth="1"/>
    <col min="15114" max="15114" width="14.7109375" style="5" customWidth="1"/>
    <col min="15115" max="15118" width="9.28515625" style="5" hidden="1" customWidth="1"/>
    <col min="15119" max="15122" width="11.28515625" style="5" customWidth="1"/>
    <col min="15123" max="15123" width="19.7109375" style="5" customWidth="1"/>
    <col min="15124" max="15362" width="9.140625" style="5"/>
    <col min="15363" max="15363" width="10.42578125" style="5" bestFit="1" customWidth="1"/>
    <col min="15364" max="15364" width="13.42578125" style="5" customWidth="1"/>
    <col min="15365" max="15365" width="12.42578125" style="5" customWidth="1"/>
    <col min="15366" max="15366" width="12.5703125" style="5" customWidth="1"/>
    <col min="15367" max="15369" width="13" style="5" customWidth="1"/>
    <col min="15370" max="15370" width="14.7109375" style="5" customWidth="1"/>
    <col min="15371" max="15374" width="9.28515625" style="5" hidden="1" customWidth="1"/>
    <col min="15375" max="15378" width="11.28515625" style="5" customWidth="1"/>
    <col min="15379" max="15379" width="19.7109375" style="5" customWidth="1"/>
    <col min="15380" max="15618" width="9.140625" style="5"/>
    <col min="15619" max="15619" width="10.42578125" style="5" bestFit="1" customWidth="1"/>
    <col min="15620" max="15620" width="13.42578125" style="5" customWidth="1"/>
    <col min="15621" max="15621" width="12.42578125" style="5" customWidth="1"/>
    <col min="15622" max="15622" width="12.5703125" style="5" customWidth="1"/>
    <col min="15623" max="15625" width="13" style="5" customWidth="1"/>
    <col min="15626" max="15626" width="14.7109375" style="5" customWidth="1"/>
    <col min="15627" max="15630" width="9.28515625" style="5" hidden="1" customWidth="1"/>
    <col min="15631" max="15634" width="11.28515625" style="5" customWidth="1"/>
    <col min="15635" max="15635" width="19.7109375" style="5" customWidth="1"/>
    <col min="15636" max="15874" width="9.140625" style="5"/>
    <col min="15875" max="15875" width="10.42578125" style="5" bestFit="1" customWidth="1"/>
    <col min="15876" max="15876" width="13.42578125" style="5" customWidth="1"/>
    <col min="15877" max="15877" width="12.42578125" style="5" customWidth="1"/>
    <col min="15878" max="15878" width="12.5703125" style="5" customWidth="1"/>
    <col min="15879" max="15881" width="13" style="5" customWidth="1"/>
    <col min="15882" max="15882" width="14.7109375" style="5" customWidth="1"/>
    <col min="15883" max="15886" width="9.28515625" style="5" hidden="1" customWidth="1"/>
    <col min="15887" max="15890" width="11.28515625" style="5" customWidth="1"/>
    <col min="15891" max="15891" width="19.7109375" style="5" customWidth="1"/>
    <col min="15892" max="16130" width="9.140625" style="5"/>
    <col min="16131" max="16131" width="10.42578125" style="5" bestFit="1" customWidth="1"/>
    <col min="16132" max="16132" width="13.42578125" style="5" customWidth="1"/>
    <col min="16133" max="16133" width="12.42578125" style="5" customWidth="1"/>
    <col min="16134" max="16134" width="12.5703125" style="5" customWidth="1"/>
    <col min="16135" max="16137" width="13" style="5" customWidth="1"/>
    <col min="16138" max="16138" width="14.7109375" style="5" customWidth="1"/>
    <col min="16139" max="16142" width="9.28515625" style="5" hidden="1" customWidth="1"/>
    <col min="16143" max="16146" width="11.28515625" style="5" customWidth="1"/>
    <col min="16147" max="16147" width="19.7109375" style="5" customWidth="1"/>
    <col min="16148" max="16384" width="9.140625" style="5"/>
  </cols>
  <sheetData>
    <row r="1" spans="1:23" ht="13.5" thickBot="1">
      <c r="A1" s="1" t="s">
        <v>0</v>
      </c>
      <c r="B1" s="205" t="s">
        <v>114</v>
      </c>
      <c r="C1" s="205"/>
      <c r="D1" s="127"/>
      <c r="E1" s="1" t="s">
        <v>1</v>
      </c>
      <c r="F1" s="2">
        <v>9</v>
      </c>
      <c r="G1" s="2"/>
      <c r="H1" s="3" t="s">
        <v>2</v>
      </c>
      <c r="I1" s="4">
        <v>37011</v>
      </c>
      <c r="L1" s="208" t="s">
        <v>3</v>
      </c>
      <c r="M1" s="208"/>
    </row>
    <row r="2" spans="1:23">
      <c r="A2" s="1" t="s">
        <v>4</v>
      </c>
      <c r="B2" s="206" t="s">
        <v>115</v>
      </c>
      <c r="C2" s="206"/>
      <c r="D2" s="128"/>
      <c r="F2" s="6"/>
      <c r="G2" s="6"/>
      <c r="H2" s="3" t="s">
        <v>5</v>
      </c>
      <c r="I2" s="4">
        <v>23493</v>
      </c>
      <c r="K2" s="7">
        <v>2007</v>
      </c>
      <c r="L2" s="11">
        <v>2007</v>
      </c>
      <c r="M2" s="11">
        <v>2007</v>
      </c>
      <c r="O2" s="8">
        <v>58000</v>
      </c>
      <c r="P2" s="9"/>
      <c r="Q2" s="9"/>
      <c r="R2" s="8">
        <v>19500</v>
      </c>
      <c r="S2" s="10"/>
    </row>
    <row r="3" spans="1:23">
      <c r="A3" s="11" t="s">
        <v>6</v>
      </c>
      <c r="B3" s="11" t="s">
        <v>7</v>
      </c>
      <c r="C3" s="11" t="s">
        <v>8</v>
      </c>
      <c r="D3" s="11" t="s">
        <v>8</v>
      </c>
      <c r="E3" s="11" t="s">
        <v>9</v>
      </c>
      <c r="F3" s="11" t="s">
        <v>10</v>
      </c>
      <c r="G3" s="11" t="s">
        <v>122</v>
      </c>
      <c r="H3" s="3" t="s">
        <v>11</v>
      </c>
      <c r="I3" s="3">
        <v>129999.96</v>
      </c>
      <c r="J3" s="49"/>
      <c r="K3" s="12" t="s">
        <v>12</v>
      </c>
      <c r="L3" s="13" t="s">
        <v>13</v>
      </c>
      <c r="M3" s="13" t="s">
        <v>13</v>
      </c>
      <c r="O3" s="14">
        <f>-SUM(C30+D30+E30)</f>
        <v>-31000.095999999994</v>
      </c>
      <c r="R3" s="14">
        <v>0</v>
      </c>
      <c r="S3" s="15" t="s">
        <v>14</v>
      </c>
      <c r="U3" s="16"/>
    </row>
    <row r="4" spans="1:23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3" t="s">
        <v>17</v>
      </c>
      <c r="I4" s="75">
        <f>I3/F1</f>
        <v>14444.44</v>
      </c>
      <c r="J4" s="49"/>
      <c r="K4" s="12" t="s">
        <v>16</v>
      </c>
      <c r="L4" s="13" t="s">
        <v>18</v>
      </c>
      <c r="M4" s="13" t="s">
        <v>19</v>
      </c>
      <c r="O4" s="19">
        <f>SUM(O2:O3)</f>
        <v>26999.904000000006</v>
      </c>
      <c r="P4" s="20" t="s">
        <v>44</v>
      </c>
      <c r="Q4" s="20"/>
      <c r="R4" s="14">
        <v>6500</v>
      </c>
      <c r="S4" s="15" t="s">
        <v>20</v>
      </c>
      <c r="U4" s="16"/>
    </row>
    <row r="5" spans="1:23">
      <c r="A5" s="21" t="s">
        <v>21</v>
      </c>
      <c r="B5" s="21" t="s">
        <v>22</v>
      </c>
      <c r="C5" s="21" t="s">
        <v>46</v>
      </c>
      <c r="D5" s="21" t="s">
        <v>117</v>
      </c>
      <c r="E5" s="21" t="s">
        <v>118</v>
      </c>
      <c r="F5" s="21">
        <v>26000</v>
      </c>
      <c r="G5" s="21">
        <v>26000</v>
      </c>
      <c r="H5" s="3" t="s">
        <v>26</v>
      </c>
      <c r="I5" s="36">
        <f>I4/2</f>
        <v>7222.22</v>
      </c>
      <c r="J5" s="49"/>
      <c r="K5" s="22" t="s">
        <v>27</v>
      </c>
      <c r="L5" s="21" t="s">
        <v>28</v>
      </c>
      <c r="M5" s="21" t="s">
        <v>28</v>
      </c>
      <c r="R5" s="14">
        <f>-D30</f>
        <v>-3875.002</v>
      </c>
      <c r="S5" s="15" t="s">
        <v>29</v>
      </c>
      <c r="U5" s="16"/>
    </row>
    <row r="6" spans="1:23" ht="13.5" thickBot="1">
      <c r="A6" s="23">
        <v>40553</v>
      </c>
      <c r="B6" s="24">
        <v>0</v>
      </c>
      <c r="C6" s="25">
        <v>0</v>
      </c>
      <c r="D6" s="25">
        <v>0</v>
      </c>
      <c r="E6" s="26">
        <f>C6+D6</f>
        <v>0</v>
      </c>
      <c r="F6" s="27">
        <v>0</v>
      </c>
      <c r="G6" s="27">
        <v>0</v>
      </c>
      <c r="I6" s="16"/>
      <c r="J6" s="28"/>
      <c r="K6" s="29" t="e">
        <f>IF(#REF!/5&gt;$F$6,F6,(#REF!/5))</f>
        <v>#REF!</v>
      </c>
      <c r="L6" s="30" t="e">
        <f>#REF!/5</f>
        <v>#REF!</v>
      </c>
      <c r="M6" s="30" t="e">
        <f>#REF!/5 +F6</f>
        <v>#REF!</v>
      </c>
      <c r="O6" s="76" t="s">
        <v>116</v>
      </c>
      <c r="P6" s="77"/>
      <c r="Q6" s="77"/>
      <c r="R6" s="19">
        <f>SUM(R2:R5)</f>
        <v>22124.998</v>
      </c>
      <c r="S6" s="32" t="s">
        <v>93</v>
      </c>
      <c r="U6" s="16"/>
    </row>
    <row r="7" spans="1:23" ht="13.5" thickBot="1">
      <c r="A7" s="23">
        <v>40568</v>
      </c>
      <c r="B7" s="24">
        <v>0</v>
      </c>
      <c r="C7" s="25">
        <v>0</v>
      </c>
      <c r="D7" s="25">
        <v>0</v>
      </c>
      <c r="E7" s="26">
        <f t="shared" ref="E7:E29" si="0">C7+D7</f>
        <v>0</v>
      </c>
      <c r="F7" s="27">
        <v>0</v>
      </c>
      <c r="G7" s="27">
        <v>0</v>
      </c>
      <c r="I7" s="16"/>
      <c r="J7" s="28"/>
      <c r="K7" s="29" t="e">
        <f>IF(#REF!/5&gt;$F$6,#REF!,(#REF!/5))</f>
        <v>#REF!</v>
      </c>
      <c r="L7" s="30" t="e">
        <f>#REF!/5</f>
        <v>#REF!</v>
      </c>
      <c r="M7" s="30" t="e">
        <f>#REF!/5 +#REF!</f>
        <v>#REF!</v>
      </c>
      <c r="O7" s="76" t="s">
        <v>107</v>
      </c>
      <c r="P7" s="77"/>
      <c r="Q7" s="77"/>
      <c r="R7" s="78" t="s">
        <v>45</v>
      </c>
      <c r="S7" s="79"/>
      <c r="U7" s="16"/>
    </row>
    <row r="8" spans="1:23">
      <c r="A8" s="23">
        <v>40584</v>
      </c>
      <c r="B8" s="24">
        <v>0</v>
      </c>
      <c r="C8" s="25">
        <v>0</v>
      </c>
      <c r="D8" s="25">
        <v>0</v>
      </c>
      <c r="E8" s="26">
        <f t="shared" si="0"/>
        <v>0</v>
      </c>
      <c r="F8" s="27">
        <v>0</v>
      </c>
      <c r="G8" s="27">
        <v>0</v>
      </c>
      <c r="I8" s="16"/>
      <c r="J8" s="28"/>
      <c r="K8" s="29" t="e">
        <f>IF(#REF!/5&gt;$F$6,F10,(#REF!/5))</f>
        <v>#REF!</v>
      </c>
      <c r="L8" s="30" t="e">
        <f>#REF!/5</f>
        <v>#REF!</v>
      </c>
      <c r="M8" s="30" t="e">
        <f>#REF!/5+F10</f>
        <v>#REF!</v>
      </c>
      <c r="O8" s="31"/>
      <c r="R8" s="33">
        <f>O4</f>
        <v>26999.904000000006</v>
      </c>
      <c r="S8" s="34" t="s">
        <v>101</v>
      </c>
      <c r="U8" s="16"/>
    </row>
    <row r="9" spans="1:23">
      <c r="A9" s="23">
        <v>40599</v>
      </c>
      <c r="B9" s="24">
        <v>0</v>
      </c>
      <c r="C9" s="25">
        <v>0</v>
      </c>
      <c r="D9" s="25">
        <v>0</v>
      </c>
      <c r="E9" s="26">
        <f t="shared" si="0"/>
        <v>0</v>
      </c>
      <c r="F9" s="27">
        <v>0</v>
      </c>
      <c r="G9" s="27">
        <v>0</v>
      </c>
      <c r="I9" s="16"/>
      <c r="J9" s="28"/>
      <c r="K9" s="29" t="e">
        <f>IF(#REF!/5&gt;$F$6,F11,(#REF!/5))</f>
        <v>#REF!</v>
      </c>
      <c r="L9" s="30" t="e">
        <f>#REF!/5</f>
        <v>#REF!</v>
      </c>
      <c r="M9" s="30" t="e">
        <f>#REF!/5+F10</f>
        <v>#REF!</v>
      </c>
      <c r="O9" s="35"/>
      <c r="P9" s="36"/>
      <c r="Q9" s="36"/>
      <c r="R9" s="14">
        <v>0</v>
      </c>
      <c r="S9" s="15" t="s">
        <v>14</v>
      </c>
      <c r="U9" s="16"/>
    </row>
    <row r="10" spans="1:23">
      <c r="A10" s="23">
        <v>40612</v>
      </c>
      <c r="B10" s="24">
        <v>0</v>
      </c>
      <c r="C10" s="25">
        <v>0</v>
      </c>
      <c r="D10" s="25">
        <v>0</v>
      </c>
      <c r="E10" s="26">
        <f t="shared" si="0"/>
        <v>0</v>
      </c>
      <c r="F10" s="27">
        <v>0</v>
      </c>
      <c r="G10" s="27">
        <v>0</v>
      </c>
      <c r="I10" s="80" t="s">
        <v>109</v>
      </c>
      <c r="J10" s="81"/>
      <c r="K10" s="82"/>
      <c r="L10" s="83"/>
      <c r="M10" s="83"/>
      <c r="N10" s="84"/>
      <c r="O10" s="85"/>
      <c r="P10" s="86"/>
      <c r="Q10" s="84"/>
      <c r="R10" s="14">
        <v>6500</v>
      </c>
      <c r="S10" s="15" t="s">
        <v>20</v>
      </c>
      <c r="U10" s="16"/>
    </row>
    <row r="11" spans="1:23" ht="13.5" thickBot="1">
      <c r="A11" s="23">
        <v>40627</v>
      </c>
      <c r="B11" s="24">
        <v>0</v>
      </c>
      <c r="C11" s="25">
        <v>0</v>
      </c>
      <c r="D11" s="25">
        <v>0</v>
      </c>
      <c r="E11" s="26">
        <f t="shared" si="0"/>
        <v>0</v>
      </c>
      <c r="F11" s="27">
        <v>0</v>
      </c>
      <c r="G11" s="27">
        <v>0</v>
      </c>
      <c r="I11" s="80" t="s">
        <v>97</v>
      </c>
      <c r="J11" s="81"/>
      <c r="K11" s="87"/>
      <c r="L11" s="88"/>
      <c r="M11" s="88"/>
      <c r="N11" s="84"/>
      <c r="O11" s="85"/>
      <c r="P11" s="86"/>
      <c r="Q11" s="84"/>
      <c r="R11" s="19">
        <f>SUM(R8:R10)</f>
        <v>33499.90400000001</v>
      </c>
      <c r="S11" s="37"/>
      <c r="U11" s="41"/>
    </row>
    <row r="12" spans="1:23" ht="13.5" thickBot="1">
      <c r="A12" s="23">
        <v>40643</v>
      </c>
      <c r="B12" s="24">
        <v>0</v>
      </c>
      <c r="C12" s="25">
        <v>0</v>
      </c>
      <c r="D12" s="25">
        <v>0</v>
      </c>
      <c r="E12" s="26">
        <f t="shared" si="0"/>
        <v>0</v>
      </c>
      <c r="F12" s="27">
        <v>0</v>
      </c>
      <c r="G12" s="27">
        <v>0</v>
      </c>
      <c r="I12" s="80" t="s">
        <v>112</v>
      </c>
      <c r="J12" s="84"/>
      <c r="K12" s="87"/>
      <c r="L12" s="88"/>
      <c r="M12" s="90"/>
      <c r="N12" s="84"/>
      <c r="O12" s="85"/>
      <c r="P12" s="86"/>
      <c r="Q12" s="84"/>
      <c r="R12" s="38"/>
      <c r="S12" s="39"/>
      <c r="U12" s="31"/>
      <c r="V12" s="31"/>
      <c r="W12" s="89"/>
    </row>
    <row r="13" spans="1:23" ht="13.5" thickBot="1">
      <c r="A13" s="23">
        <v>40658</v>
      </c>
      <c r="B13" s="24">
        <v>0</v>
      </c>
      <c r="C13" s="25">
        <v>0</v>
      </c>
      <c r="D13" s="25">
        <v>0</v>
      </c>
      <c r="E13" s="26">
        <f t="shared" si="0"/>
        <v>0</v>
      </c>
      <c r="F13" s="27">
        <v>0</v>
      </c>
      <c r="G13" s="27">
        <v>0</v>
      </c>
      <c r="I13" s="80" t="s">
        <v>105</v>
      </c>
      <c r="J13" s="81"/>
      <c r="K13" s="91" t="e">
        <v>#REF!</v>
      </c>
      <c r="L13" s="92" t="e">
        <v>#REF!</v>
      </c>
      <c r="M13" s="92" t="e">
        <v>#REF!</v>
      </c>
      <c r="N13" s="84"/>
      <c r="O13" s="85"/>
      <c r="P13" s="86"/>
      <c r="Q13" s="84"/>
      <c r="R13" s="40" t="s">
        <v>30</v>
      </c>
      <c r="S13" s="10"/>
      <c r="U13" s="89"/>
      <c r="V13" s="89"/>
    </row>
    <row r="14" spans="1:23">
      <c r="A14" s="23">
        <v>40673</v>
      </c>
      <c r="B14" s="24">
        <v>0</v>
      </c>
      <c r="C14" s="25">
        <v>0</v>
      </c>
      <c r="D14" s="25">
        <v>0</v>
      </c>
      <c r="E14" s="26">
        <f t="shared" si="0"/>
        <v>0</v>
      </c>
      <c r="F14" s="27">
        <v>0</v>
      </c>
      <c r="G14" s="27">
        <v>0</v>
      </c>
      <c r="K14" s="209" t="e">
        <f>IF(#REF!&gt;=0,"Total&lt;45K eligible for SRA","&gt;45K Not eligible for SRA")</f>
        <v>#REF!</v>
      </c>
      <c r="L14" s="210"/>
      <c r="M14" s="211"/>
      <c r="O14" s="31"/>
      <c r="P14" s="41"/>
      <c r="R14" s="14">
        <f>IF(R11&lt;R6,R11,R6)</f>
        <v>22124.998</v>
      </c>
      <c r="S14" s="42" t="s">
        <v>31</v>
      </c>
      <c r="U14" s="31"/>
      <c r="V14" s="31"/>
    </row>
    <row r="15" spans="1:23">
      <c r="A15" s="23">
        <v>40688</v>
      </c>
      <c r="B15" s="24">
        <v>0</v>
      </c>
      <c r="C15" s="25">
        <v>0</v>
      </c>
      <c r="D15" s="25">
        <v>0</v>
      </c>
      <c r="E15" s="26">
        <f t="shared" si="0"/>
        <v>0</v>
      </c>
      <c r="F15" s="27">
        <v>0</v>
      </c>
      <c r="G15" s="27">
        <v>0</v>
      </c>
      <c r="K15" s="212" t="e">
        <f>IF(#REF!&gt;=0,IF(#REF!&gt;=0,"SRA OK","SRA need to be adjusted"), "&gt;45K Not eligible for SRA")</f>
        <v>#REF!</v>
      </c>
      <c r="L15" s="213"/>
      <c r="M15" s="214"/>
      <c r="O15" s="44"/>
      <c r="P15" s="41"/>
      <c r="R15" s="14">
        <f>R14-F6-G6</f>
        <v>22124.998</v>
      </c>
      <c r="S15" s="23">
        <v>40553</v>
      </c>
      <c r="U15" s="31"/>
    </row>
    <row r="16" spans="1:23">
      <c r="A16" s="23">
        <v>40704</v>
      </c>
      <c r="B16" s="24">
        <v>0</v>
      </c>
      <c r="C16" s="25">
        <v>0</v>
      </c>
      <c r="D16" s="25">
        <v>0</v>
      </c>
      <c r="E16" s="26">
        <f t="shared" si="0"/>
        <v>0</v>
      </c>
      <c r="F16" s="27">
        <v>0</v>
      </c>
      <c r="G16" s="27">
        <v>0</v>
      </c>
      <c r="H16" s="3"/>
      <c r="K16" s="45"/>
      <c r="L16" s="45"/>
      <c r="M16" s="45"/>
      <c r="N16" s="45"/>
      <c r="O16" s="45"/>
      <c r="P16" s="46"/>
      <c r="Q16" s="46"/>
      <c r="R16" s="14">
        <f t="shared" ref="R16:R38" si="1">R15-F7-G7</f>
        <v>22124.998</v>
      </c>
      <c r="S16" s="23">
        <v>40568</v>
      </c>
      <c r="U16" s="31"/>
    </row>
    <row r="17" spans="1:25">
      <c r="A17" s="23">
        <v>40719</v>
      </c>
      <c r="B17" s="24">
        <v>0</v>
      </c>
      <c r="C17" s="25">
        <v>0</v>
      </c>
      <c r="D17" s="25">
        <v>0</v>
      </c>
      <c r="E17" s="26">
        <f t="shared" si="0"/>
        <v>0</v>
      </c>
      <c r="F17" s="27">
        <v>0</v>
      </c>
      <c r="G17" s="27">
        <v>0</v>
      </c>
      <c r="K17" s="47"/>
      <c r="L17" s="45"/>
      <c r="M17" s="45"/>
      <c r="N17" s="45"/>
      <c r="O17" s="48"/>
      <c r="P17" s="45"/>
      <c r="Q17" s="46"/>
      <c r="R17" s="14">
        <f t="shared" si="1"/>
        <v>22124.998</v>
      </c>
      <c r="S17" s="23">
        <v>40584</v>
      </c>
      <c r="U17" s="31"/>
    </row>
    <row r="18" spans="1:25">
      <c r="A18" s="23">
        <v>40369</v>
      </c>
      <c r="B18" s="24">
        <v>0</v>
      </c>
      <c r="C18" s="25">
        <v>0</v>
      </c>
      <c r="D18" s="25">
        <v>0</v>
      </c>
      <c r="E18" s="26">
        <f t="shared" si="0"/>
        <v>0</v>
      </c>
      <c r="F18" s="27">
        <v>0</v>
      </c>
      <c r="G18" s="27">
        <v>0</v>
      </c>
      <c r="K18" s="45"/>
      <c r="L18" s="45"/>
      <c r="M18" s="45"/>
      <c r="N18" s="45"/>
      <c r="R18" s="14">
        <f t="shared" si="1"/>
        <v>22124.998</v>
      </c>
      <c r="S18" s="23">
        <v>40599</v>
      </c>
      <c r="U18" s="31"/>
      <c r="X18" s="31"/>
      <c r="Y18" s="31"/>
    </row>
    <row r="19" spans="1:25">
      <c r="A19" s="23">
        <v>40384</v>
      </c>
      <c r="B19" s="24">
        <v>0</v>
      </c>
      <c r="C19" s="25">
        <v>0</v>
      </c>
      <c r="D19" s="25">
        <v>0</v>
      </c>
      <c r="E19" s="26">
        <f t="shared" si="0"/>
        <v>0</v>
      </c>
      <c r="F19" s="27">
        <v>0</v>
      </c>
      <c r="G19" s="27">
        <v>0</v>
      </c>
      <c r="K19" s="49"/>
      <c r="R19" s="14">
        <f t="shared" si="1"/>
        <v>22124.998</v>
      </c>
      <c r="S19" s="23">
        <v>40612</v>
      </c>
    </row>
    <row r="20" spans="1:25">
      <c r="A20" s="23">
        <v>40400</v>
      </c>
      <c r="B20" s="24">
        <v>0</v>
      </c>
      <c r="C20" s="25">
        <v>0</v>
      </c>
      <c r="D20" s="25">
        <v>0</v>
      </c>
      <c r="E20" s="26">
        <f t="shared" si="0"/>
        <v>0</v>
      </c>
      <c r="F20" s="27">
        <v>0</v>
      </c>
      <c r="G20" s="27">
        <v>0</v>
      </c>
      <c r="H20" s="50"/>
      <c r="I20" s="45"/>
      <c r="J20" s="45"/>
      <c r="R20" s="14">
        <f t="shared" si="1"/>
        <v>22124.998</v>
      </c>
      <c r="S20" s="23">
        <v>40627</v>
      </c>
    </row>
    <row r="21" spans="1:25">
      <c r="A21" s="23">
        <v>40415</v>
      </c>
      <c r="B21" s="24">
        <v>0</v>
      </c>
      <c r="C21" s="25">
        <v>0</v>
      </c>
      <c r="D21" s="25">
        <v>0</v>
      </c>
      <c r="E21" s="26">
        <f t="shared" si="0"/>
        <v>0</v>
      </c>
      <c r="F21" s="27">
        <v>0</v>
      </c>
      <c r="G21" s="27">
        <v>0</v>
      </c>
      <c r="H21" s="50"/>
      <c r="I21" s="51"/>
      <c r="J21" s="45"/>
      <c r="K21" s="52"/>
      <c r="R21" s="14">
        <f t="shared" si="1"/>
        <v>22124.998</v>
      </c>
      <c r="S21" s="23">
        <v>40643</v>
      </c>
      <c r="X21" s="31"/>
    </row>
    <row r="22" spans="1:25">
      <c r="A22" s="23">
        <v>40066</v>
      </c>
      <c r="B22" s="24">
        <v>0</v>
      </c>
      <c r="C22" s="25">
        <v>0</v>
      </c>
      <c r="D22" s="25">
        <v>0</v>
      </c>
      <c r="E22" s="26">
        <f t="shared" si="0"/>
        <v>0</v>
      </c>
      <c r="F22" s="27">
        <v>0</v>
      </c>
      <c r="G22" s="27">
        <v>0</v>
      </c>
      <c r="H22" s="53"/>
      <c r="I22" s="53"/>
      <c r="J22" s="53"/>
      <c r="K22" s="52"/>
      <c r="R22" s="14">
        <f t="shared" si="1"/>
        <v>22124.998</v>
      </c>
      <c r="S22" s="23">
        <v>40658</v>
      </c>
      <c r="X22" s="31"/>
    </row>
    <row r="23" spans="1:25">
      <c r="A23" s="23">
        <v>40081</v>
      </c>
      <c r="B23" s="24">
        <v>0</v>
      </c>
      <c r="C23" s="25">
        <v>0</v>
      </c>
      <c r="D23" s="25">
        <v>0</v>
      </c>
      <c r="E23" s="26">
        <f t="shared" si="0"/>
        <v>0</v>
      </c>
      <c r="F23" s="27">
        <v>0</v>
      </c>
      <c r="G23" s="27">
        <v>0</v>
      </c>
      <c r="H23" s="53"/>
      <c r="I23" s="53"/>
      <c r="J23" s="53"/>
      <c r="R23" s="14">
        <f t="shared" si="1"/>
        <v>22124.998</v>
      </c>
      <c r="S23" s="23">
        <v>40673</v>
      </c>
      <c r="U23" s="31"/>
      <c r="X23" s="31"/>
    </row>
    <row r="24" spans="1:25">
      <c r="A24" s="23">
        <v>40096</v>
      </c>
      <c r="B24" s="24">
        <v>0</v>
      </c>
      <c r="C24" s="25">
        <v>0</v>
      </c>
      <c r="D24" s="25">
        <v>0</v>
      </c>
      <c r="E24" s="26">
        <v>0</v>
      </c>
      <c r="F24" s="27">
        <v>0</v>
      </c>
      <c r="G24" s="27">
        <v>0</v>
      </c>
      <c r="H24" s="53"/>
      <c r="I24" s="53"/>
      <c r="J24" s="53"/>
      <c r="K24" s="207"/>
      <c r="L24" s="207"/>
      <c r="M24" s="207"/>
      <c r="R24" s="14">
        <f t="shared" si="1"/>
        <v>22124.998</v>
      </c>
      <c r="S24" s="23">
        <v>40688</v>
      </c>
      <c r="U24" s="31"/>
      <c r="X24" s="31"/>
    </row>
    <row r="25" spans="1:25">
      <c r="A25" s="23">
        <v>40111</v>
      </c>
      <c r="B25" s="125">
        <v>126111.12</v>
      </c>
      <c r="C25" s="125">
        <v>9458.3799999999992</v>
      </c>
      <c r="D25" s="125">
        <v>2972.29</v>
      </c>
      <c r="E25" s="26">
        <f t="shared" si="0"/>
        <v>12430.669999999998</v>
      </c>
      <c r="F25" s="125">
        <v>2245.15</v>
      </c>
      <c r="G25" s="125">
        <v>19879.78</v>
      </c>
      <c r="H25" s="54"/>
      <c r="I25" s="55"/>
      <c r="J25" s="54"/>
      <c r="K25" s="207"/>
      <c r="L25" s="207"/>
      <c r="M25" s="207"/>
      <c r="R25" s="14">
        <f t="shared" si="1"/>
        <v>22124.998</v>
      </c>
      <c r="S25" s="23">
        <v>40704</v>
      </c>
      <c r="U25" s="31"/>
    </row>
    <row r="26" spans="1:25">
      <c r="A26" s="23">
        <v>40127</v>
      </c>
      <c r="B26" s="24">
        <v>7222.22</v>
      </c>
      <c r="C26" s="25">
        <f>B26*0.075</f>
        <v>541.66650000000004</v>
      </c>
      <c r="D26" s="117">
        <f>(B26*0.025)+180.49</f>
        <v>361.04550000000006</v>
      </c>
      <c r="E26" s="26">
        <f t="shared" si="0"/>
        <v>902.7120000000001</v>
      </c>
      <c r="F26" s="93">
        <v>0</v>
      </c>
      <c r="G26" s="93">
        <v>0</v>
      </c>
      <c r="H26" s="50"/>
      <c r="I26" s="45"/>
      <c r="J26" s="45"/>
      <c r="R26" s="14">
        <f t="shared" si="1"/>
        <v>22124.998</v>
      </c>
      <c r="S26" s="23">
        <v>40719</v>
      </c>
      <c r="U26" s="31"/>
    </row>
    <row r="27" spans="1:25" ht="15" customHeight="1">
      <c r="A27" s="23">
        <v>40142</v>
      </c>
      <c r="B27" s="24">
        <v>7222.22</v>
      </c>
      <c r="C27" s="25">
        <f>B27*0.075</f>
        <v>541.66650000000004</v>
      </c>
      <c r="D27" s="25">
        <f>B27*0.025</f>
        <v>180.55550000000002</v>
      </c>
      <c r="E27" s="26">
        <f t="shared" si="0"/>
        <v>722.22200000000009</v>
      </c>
      <c r="F27" s="93">
        <v>0</v>
      </c>
      <c r="G27" s="93">
        <v>0</v>
      </c>
      <c r="H27" s="56"/>
      <c r="I27" s="56"/>
      <c r="J27" s="56"/>
      <c r="R27" s="14">
        <f t="shared" si="1"/>
        <v>22124.998</v>
      </c>
      <c r="S27" s="23">
        <v>40369</v>
      </c>
      <c r="U27" s="31"/>
    </row>
    <row r="28" spans="1:25">
      <c r="A28" s="23">
        <v>40157</v>
      </c>
      <c r="B28" s="24">
        <v>7222.22</v>
      </c>
      <c r="C28" s="25">
        <f>B28*0.075</f>
        <v>541.66650000000004</v>
      </c>
      <c r="D28" s="25">
        <f>B28*0.025</f>
        <v>180.55550000000002</v>
      </c>
      <c r="E28" s="26">
        <f t="shared" si="0"/>
        <v>722.22200000000009</v>
      </c>
      <c r="F28" s="93">
        <v>0</v>
      </c>
      <c r="G28" s="93">
        <v>0</v>
      </c>
      <c r="H28" s="56"/>
      <c r="I28" s="56"/>
      <c r="J28" s="56"/>
      <c r="K28" s="45"/>
      <c r="L28" s="45"/>
      <c r="M28" s="45"/>
      <c r="N28" s="45"/>
      <c r="O28" s="48"/>
      <c r="P28" s="45"/>
      <c r="Q28" s="46"/>
      <c r="R28" s="14">
        <f t="shared" si="1"/>
        <v>22124.998</v>
      </c>
      <c r="S28" s="23">
        <v>40384</v>
      </c>
      <c r="U28" s="89"/>
    </row>
    <row r="29" spans="1:25" ht="13.5" thickBot="1">
      <c r="A29" s="23">
        <v>39441</v>
      </c>
      <c r="B29" s="24">
        <v>7222.22</v>
      </c>
      <c r="C29" s="25">
        <f>B29*0.075</f>
        <v>541.66650000000004</v>
      </c>
      <c r="D29" s="97">
        <f>B29*0.025</f>
        <v>180.55550000000002</v>
      </c>
      <c r="E29" s="97">
        <f t="shared" si="0"/>
        <v>722.22200000000009</v>
      </c>
      <c r="F29" s="93">
        <v>0</v>
      </c>
      <c r="G29" s="93">
        <v>0</v>
      </c>
      <c r="H29" s="56"/>
      <c r="I29" s="56"/>
      <c r="J29" s="56"/>
      <c r="K29" s="57"/>
      <c r="L29" s="57"/>
      <c r="M29" s="57"/>
      <c r="N29" s="57"/>
      <c r="R29" s="14">
        <f t="shared" si="1"/>
        <v>22124.998</v>
      </c>
      <c r="S29" s="23">
        <v>40400</v>
      </c>
      <c r="U29" s="89" t="s">
        <v>32</v>
      </c>
    </row>
    <row r="30" spans="1:25">
      <c r="A30" s="58" t="s">
        <v>33</v>
      </c>
      <c r="B30" s="59">
        <f>SUM(B6:B29)</f>
        <v>155000</v>
      </c>
      <c r="C30" s="59">
        <f>SUM(C6:C29)</f>
        <v>11625.045999999997</v>
      </c>
      <c r="D30" s="94">
        <f>SUM(D6:D29)</f>
        <v>3875.002</v>
      </c>
      <c r="E30" s="94">
        <f>C30+D30</f>
        <v>15500.047999999997</v>
      </c>
      <c r="F30" s="59">
        <f>SUM(F6:F29)</f>
        <v>2245.15</v>
      </c>
      <c r="G30" s="59">
        <f>SUM(G6:G29)</f>
        <v>19879.78</v>
      </c>
      <c r="H30" s="44"/>
      <c r="I30" s="132"/>
      <c r="J30" s="44"/>
      <c r="K30" s="57"/>
      <c r="L30" s="57"/>
      <c r="M30" s="57"/>
      <c r="N30" s="57"/>
      <c r="R30" s="14">
        <f t="shared" si="1"/>
        <v>22124.998</v>
      </c>
      <c r="S30" s="23">
        <v>40415</v>
      </c>
      <c r="U30" s="89" t="s">
        <v>32</v>
      </c>
    </row>
    <row r="31" spans="1:25" ht="13.5" thickBot="1">
      <c r="A31" s="63"/>
      <c r="B31" s="64"/>
      <c r="C31" s="64"/>
      <c r="D31" s="64"/>
      <c r="E31" s="64">
        <f>SUM(E6:E29)</f>
        <v>15500.047999999997</v>
      </c>
      <c r="F31" s="65"/>
      <c r="G31" s="65"/>
      <c r="H31" s="44"/>
      <c r="I31" s="132"/>
      <c r="J31" s="44"/>
      <c r="K31" s="57"/>
      <c r="L31" s="57"/>
      <c r="M31" s="57"/>
      <c r="N31" s="57"/>
      <c r="R31" s="14">
        <f t="shared" si="1"/>
        <v>22124.998</v>
      </c>
      <c r="S31" s="23">
        <v>40066</v>
      </c>
      <c r="U31" s="89" t="s">
        <v>32</v>
      </c>
    </row>
    <row r="32" spans="1:25">
      <c r="F32" s="45"/>
      <c r="G32" s="45"/>
      <c r="H32" s="57"/>
      <c r="I32" s="57"/>
      <c r="J32" s="57"/>
      <c r="K32" s="57"/>
      <c r="L32" s="57"/>
      <c r="M32" s="57"/>
      <c r="N32" s="57"/>
      <c r="R32" s="14">
        <f t="shared" si="1"/>
        <v>22124.998</v>
      </c>
      <c r="S32" s="23">
        <v>40081</v>
      </c>
      <c r="U32" s="89" t="s">
        <v>32</v>
      </c>
    </row>
    <row r="33" spans="2:19" ht="15">
      <c r="B33" s="123">
        <f>B30*0.075</f>
        <v>11625</v>
      </c>
      <c r="C33" s="140"/>
      <c r="D33" s="123">
        <f>B30*0.025</f>
        <v>3875</v>
      </c>
      <c r="E33" s="141"/>
      <c r="G33" s="36"/>
      <c r="H33" s="57"/>
      <c r="I33" s="57"/>
      <c r="J33" s="57"/>
      <c r="K33" s="57"/>
      <c r="L33" s="57"/>
      <c r="M33" s="57"/>
      <c r="N33" s="57"/>
      <c r="R33" s="14">
        <f t="shared" si="1"/>
        <v>22124.998</v>
      </c>
      <c r="S33" s="23">
        <v>40096</v>
      </c>
    </row>
    <row r="34" spans="2:19">
      <c r="B34" s="123">
        <f>B33-C30</f>
        <v>-4.5999999996638508E-2</v>
      </c>
      <c r="C34" s="140" t="s">
        <v>119</v>
      </c>
      <c r="D34" s="123">
        <f>D33-D30</f>
        <v>-1.9999999999527063E-3</v>
      </c>
      <c r="E34" s="123" t="s">
        <v>120</v>
      </c>
      <c r="F34" s="69"/>
      <c r="G34" s="69"/>
      <c r="H34" s="57"/>
      <c r="I34" s="57"/>
      <c r="J34" s="57"/>
      <c r="K34" s="57"/>
      <c r="L34" s="57"/>
      <c r="M34" s="57"/>
      <c r="N34" s="57"/>
      <c r="R34" s="14">
        <f t="shared" si="1"/>
        <v>6.7999999999301508E-2</v>
      </c>
      <c r="S34" s="23">
        <v>40111</v>
      </c>
    </row>
    <row r="35" spans="2:19">
      <c r="C35" s="31"/>
      <c r="D35" s="31"/>
      <c r="F35" s="36"/>
      <c r="H35" s="57"/>
      <c r="I35" s="57"/>
      <c r="J35" s="57"/>
      <c r="K35" s="57"/>
      <c r="L35" s="57"/>
      <c r="M35" s="57"/>
      <c r="N35" s="57"/>
      <c r="R35" s="14">
        <f t="shared" si="1"/>
        <v>6.7999999999301508E-2</v>
      </c>
      <c r="S35" s="23">
        <v>40127</v>
      </c>
    </row>
    <row r="36" spans="2:19">
      <c r="C36" s="31"/>
      <c r="D36" s="31"/>
      <c r="F36" s="36"/>
      <c r="H36" s="70"/>
      <c r="I36" s="57"/>
      <c r="J36" s="57"/>
      <c r="K36" s="57"/>
      <c r="L36" s="57"/>
      <c r="M36" s="57"/>
      <c r="N36" s="57"/>
      <c r="R36" s="14">
        <f t="shared" si="1"/>
        <v>6.7999999999301508E-2</v>
      </c>
      <c r="S36" s="23">
        <v>40142</v>
      </c>
    </row>
    <row r="37" spans="2:19">
      <c r="C37" s="31"/>
      <c r="D37" s="31"/>
      <c r="H37" s="57"/>
      <c r="I37" s="57"/>
      <c r="J37" s="57"/>
      <c r="K37" s="57"/>
      <c r="L37" s="57"/>
      <c r="M37" s="57"/>
      <c r="N37" s="57"/>
      <c r="R37" s="14">
        <f t="shared" si="1"/>
        <v>6.7999999999301508E-2</v>
      </c>
      <c r="S37" s="23">
        <v>40157</v>
      </c>
    </row>
    <row r="38" spans="2:19" ht="13.5" thickBot="1">
      <c r="C38" s="31"/>
      <c r="D38" s="31"/>
      <c r="H38" s="57"/>
      <c r="I38" s="57"/>
      <c r="J38" s="57"/>
      <c r="K38" s="57"/>
      <c r="L38" s="57"/>
      <c r="M38" s="57"/>
      <c r="N38" s="57"/>
      <c r="O38" s="5" t="s">
        <v>42</v>
      </c>
      <c r="R38" s="14">
        <f t="shared" si="1"/>
        <v>6.7999999999301508E-2</v>
      </c>
      <c r="S38" s="71">
        <v>39441</v>
      </c>
    </row>
    <row r="39" spans="2:19">
      <c r="H39" s="57"/>
      <c r="I39" s="57"/>
      <c r="J39" s="57"/>
      <c r="K39" s="57"/>
      <c r="L39" s="57"/>
      <c r="M39" s="57"/>
      <c r="N39" s="57"/>
    </row>
    <row r="40" spans="2:19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2:19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2:19">
      <c r="B42" s="72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2:19">
      <c r="B43" s="7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2:19">
      <c r="B44" s="72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2:19">
      <c r="B45" s="72"/>
      <c r="C45" s="57"/>
      <c r="D45" s="57"/>
      <c r="E45" s="57"/>
      <c r="F45" s="57"/>
      <c r="G45" s="57"/>
      <c r="H45" s="57"/>
      <c r="I45" s="57"/>
      <c r="J45" s="57"/>
    </row>
    <row r="46" spans="2:19">
      <c r="B46" s="57"/>
      <c r="C46" s="70"/>
      <c r="D46" s="70"/>
      <c r="E46" s="70"/>
      <c r="F46" s="57"/>
      <c r="G46" s="57"/>
    </row>
    <row r="48" spans="2:19">
      <c r="C48" s="31"/>
      <c r="D48" s="31"/>
    </row>
  </sheetData>
  <mergeCells count="7">
    <mergeCell ref="K25:M25"/>
    <mergeCell ref="B1:C1"/>
    <mergeCell ref="L1:M1"/>
    <mergeCell ref="B2:C2"/>
    <mergeCell ref="K14:M14"/>
    <mergeCell ref="K15:M15"/>
    <mergeCell ref="K24:M24"/>
  </mergeCells>
  <pageMargins left="0.45" right="0.4" top="1" bottom="0.72" header="0.5" footer="0.5"/>
  <pageSetup paperSize="14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79"/>
  <dimension ref="A1:WVX48"/>
  <sheetViews>
    <sheetView zoomScale="85" zoomScaleNormal="85" workbookViewId="0">
      <selection activeCell="D26" sqref="D26"/>
    </sheetView>
  </sheetViews>
  <sheetFormatPr defaultRowHeight="12.75"/>
  <cols>
    <col min="1" max="1" width="10.42578125" style="5" bestFit="1" customWidth="1"/>
    <col min="2" max="3" width="13.42578125" style="5" customWidth="1"/>
    <col min="4" max="6" width="12.42578125" style="5" customWidth="1"/>
    <col min="7" max="7" width="12.5703125" style="5" customWidth="1"/>
    <col min="8" max="10" width="13" style="5" customWidth="1"/>
    <col min="11" max="11" width="20.7109375" style="5" customWidth="1"/>
    <col min="12" max="12" width="14.7109375" style="5" customWidth="1"/>
    <col min="13" max="13" width="12.7109375" style="5" hidden="1" customWidth="1"/>
    <col min="14" max="15" width="17.7109375" style="5" hidden="1" customWidth="1"/>
    <col min="16" max="16" width="9.28515625" style="5" hidden="1" customWidth="1"/>
    <col min="17" max="20" width="11.28515625" style="5" customWidth="1"/>
    <col min="21" max="21" width="19.7109375" style="5" customWidth="1"/>
    <col min="22" max="260" width="9.140625" style="5"/>
    <col min="261" max="261" width="10.42578125" style="5" bestFit="1" customWidth="1"/>
    <col min="262" max="262" width="13.42578125" style="5" customWidth="1"/>
    <col min="263" max="263" width="12.42578125" style="5" customWidth="1"/>
    <col min="264" max="264" width="12.5703125" style="5" customWidth="1"/>
    <col min="265" max="267" width="13" style="5" customWidth="1"/>
    <col min="268" max="268" width="14.7109375" style="5" customWidth="1"/>
    <col min="269" max="272" width="9.28515625" style="5" hidden="1" customWidth="1"/>
    <col min="273" max="276" width="11.28515625" style="5" customWidth="1"/>
    <col min="277" max="277" width="19.7109375" style="5" customWidth="1"/>
    <col min="278" max="516" width="9.140625" style="5"/>
    <col min="517" max="517" width="10.42578125" style="5" bestFit="1" customWidth="1"/>
    <col min="518" max="518" width="13.42578125" style="5" customWidth="1"/>
    <col min="519" max="519" width="12.42578125" style="5" customWidth="1"/>
    <col min="520" max="520" width="12.5703125" style="5" customWidth="1"/>
    <col min="521" max="523" width="13" style="5" customWidth="1"/>
    <col min="524" max="524" width="14.7109375" style="5" customWidth="1"/>
    <col min="525" max="528" width="9.28515625" style="5" hidden="1" customWidth="1"/>
    <col min="529" max="532" width="11.28515625" style="5" customWidth="1"/>
    <col min="533" max="533" width="19.7109375" style="5" customWidth="1"/>
    <col min="534" max="772" width="9.140625" style="5"/>
    <col min="773" max="773" width="10.42578125" style="5" bestFit="1" customWidth="1"/>
    <col min="774" max="774" width="13.42578125" style="5" customWidth="1"/>
    <col min="775" max="775" width="12.42578125" style="5" customWidth="1"/>
    <col min="776" max="776" width="12.5703125" style="5" customWidth="1"/>
    <col min="777" max="779" width="13" style="5" customWidth="1"/>
    <col min="780" max="780" width="14.7109375" style="5" customWidth="1"/>
    <col min="781" max="784" width="9.28515625" style="5" hidden="1" customWidth="1"/>
    <col min="785" max="788" width="11.28515625" style="5" customWidth="1"/>
    <col min="789" max="789" width="19.7109375" style="5" customWidth="1"/>
    <col min="790" max="1028" width="9.140625" style="5"/>
    <col min="1029" max="1029" width="10.42578125" style="5" bestFit="1" customWidth="1"/>
    <col min="1030" max="1030" width="13.42578125" style="5" customWidth="1"/>
    <col min="1031" max="1031" width="12.42578125" style="5" customWidth="1"/>
    <col min="1032" max="1032" width="12.5703125" style="5" customWidth="1"/>
    <col min="1033" max="1035" width="13" style="5" customWidth="1"/>
    <col min="1036" max="1036" width="14.7109375" style="5" customWidth="1"/>
    <col min="1037" max="1040" width="9.28515625" style="5" hidden="1" customWidth="1"/>
    <col min="1041" max="1044" width="11.28515625" style="5" customWidth="1"/>
    <col min="1045" max="1045" width="19.7109375" style="5" customWidth="1"/>
    <col min="1046" max="1284" width="9.140625" style="5"/>
    <col min="1285" max="1285" width="10.42578125" style="5" bestFit="1" customWidth="1"/>
    <col min="1286" max="1286" width="13.42578125" style="5" customWidth="1"/>
    <col min="1287" max="1287" width="12.42578125" style="5" customWidth="1"/>
    <col min="1288" max="1288" width="12.5703125" style="5" customWidth="1"/>
    <col min="1289" max="1291" width="13" style="5" customWidth="1"/>
    <col min="1292" max="1292" width="14.7109375" style="5" customWidth="1"/>
    <col min="1293" max="1296" width="9.28515625" style="5" hidden="1" customWidth="1"/>
    <col min="1297" max="1300" width="11.28515625" style="5" customWidth="1"/>
    <col min="1301" max="1301" width="19.7109375" style="5" customWidth="1"/>
    <col min="1302" max="1540" width="9.140625" style="5"/>
    <col min="1541" max="1541" width="10.42578125" style="5" bestFit="1" customWidth="1"/>
    <col min="1542" max="1542" width="13.42578125" style="5" customWidth="1"/>
    <col min="1543" max="1543" width="12.42578125" style="5" customWidth="1"/>
    <col min="1544" max="1544" width="12.5703125" style="5" customWidth="1"/>
    <col min="1545" max="1547" width="13" style="5" customWidth="1"/>
    <col min="1548" max="1548" width="14.7109375" style="5" customWidth="1"/>
    <col min="1549" max="1552" width="9.28515625" style="5" hidden="1" customWidth="1"/>
    <col min="1553" max="1556" width="11.28515625" style="5" customWidth="1"/>
    <col min="1557" max="1557" width="19.7109375" style="5" customWidth="1"/>
    <col min="1558" max="1796" width="9.140625" style="5"/>
    <col min="1797" max="1797" width="10.42578125" style="5" bestFit="1" customWidth="1"/>
    <col min="1798" max="1798" width="13.42578125" style="5" customWidth="1"/>
    <col min="1799" max="1799" width="12.42578125" style="5" customWidth="1"/>
    <col min="1800" max="1800" width="12.5703125" style="5" customWidth="1"/>
    <col min="1801" max="1803" width="13" style="5" customWidth="1"/>
    <col min="1804" max="1804" width="14.7109375" style="5" customWidth="1"/>
    <col min="1805" max="1808" width="9.28515625" style="5" hidden="1" customWidth="1"/>
    <col min="1809" max="1812" width="11.28515625" style="5" customWidth="1"/>
    <col min="1813" max="1813" width="19.7109375" style="5" customWidth="1"/>
    <col min="1814" max="2052" width="9.140625" style="5"/>
    <col min="2053" max="2053" width="10.42578125" style="5" bestFit="1" customWidth="1"/>
    <col min="2054" max="2054" width="13.42578125" style="5" customWidth="1"/>
    <col min="2055" max="2055" width="12.42578125" style="5" customWidth="1"/>
    <col min="2056" max="2056" width="12.5703125" style="5" customWidth="1"/>
    <col min="2057" max="2059" width="13" style="5" customWidth="1"/>
    <col min="2060" max="2060" width="14.7109375" style="5" customWidth="1"/>
    <col min="2061" max="2064" width="9.28515625" style="5" hidden="1" customWidth="1"/>
    <col min="2065" max="2068" width="11.28515625" style="5" customWidth="1"/>
    <col min="2069" max="2069" width="19.7109375" style="5" customWidth="1"/>
    <col min="2070" max="2308" width="9.140625" style="5"/>
    <col min="2309" max="2309" width="10.42578125" style="5" bestFit="1" customWidth="1"/>
    <col min="2310" max="2310" width="13.42578125" style="5" customWidth="1"/>
    <col min="2311" max="2311" width="12.42578125" style="5" customWidth="1"/>
    <col min="2312" max="2312" width="12.5703125" style="5" customWidth="1"/>
    <col min="2313" max="2315" width="13" style="5" customWidth="1"/>
    <col min="2316" max="2316" width="14.7109375" style="5" customWidth="1"/>
    <col min="2317" max="2320" width="9.28515625" style="5" hidden="1" customWidth="1"/>
    <col min="2321" max="2324" width="11.28515625" style="5" customWidth="1"/>
    <col min="2325" max="2325" width="19.7109375" style="5" customWidth="1"/>
    <col min="2326" max="2564" width="9.140625" style="5"/>
    <col min="2565" max="2565" width="10.42578125" style="5" bestFit="1" customWidth="1"/>
    <col min="2566" max="2566" width="13.42578125" style="5" customWidth="1"/>
    <col min="2567" max="2567" width="12.42578125" style="5" customWidth="1"/>
    <col min="2568" max="2568" width="12.5703125" style="5" customWidth="1"/>
    <col min="2569" max="2571" width="13" style="5" customWidth="1"/>
    <col min="2572" max="2572" width="14.7109375" style="5" customWidth="1"/>
    <col min="2573" max="2576" width="9.28515625" style="5" hidden="1" customWidth="1"/>
    <col min="2577" max="2580" width="11.28515625" style="5" customWidth="1"/>
    <col min="2581" max="2581" width="19.7109375" style="5" customWidth="1"/>
    <col min="2582" max="2820" width="9.140625" style="5"/>
    <col min="2821" max="2821" width="10.42578125" style="5" bestFit="1" customWidth="1"/>
    <col min="2822" max="2822" width="13.42578125" style="5" customWidth="1"/>
    <col min="2823" max="2823" width="12.42578125" style="5" customWidth="1"/>
    <col min="2824" max="2824" width="12.5703125" style="5" customWidth="1"/>
    <col min="2825" max="2827" width="13" style="5" customWidth="1"/>
    <col min="2828" max="2828" width="14.7109375" style="5" customWidth="1"/>
    <col min="2829" max="2832" width="9.28515625" style="5" hidden="1" customWidth="1"/>
    <col min="2833" max="2836" width="11.28515625" style="5" customWidth="1"/>
    <col min="2837" max="2837" width="19.7109375" style="5" customWidth="1"/>
    <col min="2838" max="3076" width="9.140625" style="5"/>
    <col min="3077" max="3077" width="10.42578125" style="5" bestFit="1" customWidth="1"/>
    <col min="3078" max="3078" width="13.42578125" style="5" customWidth="1"/>
    <col min="3079" max="3079" width="12.42578125" style="5" customWidth="1"/>
    <col min="3080" max="3080" width="12.5703125" style="5" customWidth="1"/>
    <col min="3081" max="3083" width="13" style="5" customWidth="1"/>
    <col min="3084" max="3084" width="14.7109375" style="5" customWidth="1"/>
    <col min="3085" max="3088" width="9.28515625" style="5" hidden="1" customWidth="1"/>
    <col min="3089" max="3092" width="11.28515625" style="5" customWidth="1"/>
    <col min="3093" max="3093" width="19.7109375" style="5" customWidth="1"/>
    <col min="3094" max="3332" width="9.140625" style="5"/>
    <col min="3333" max="3333" width="10.42578125" style="5" bestFit="1" customWidth="1"/>
    <col min="3334" max="3334" width="13.42578125" style="5" customWidth="1"/>
    <col min="3335" max="3335" width="12.42578125" style="5" customWidth="1"/>
    <col min="3336" max="3336" width="12.5703125" style="5" customWidth="1"/>
    <col min="3337" max="3339" width="13" style="5" customWidth="1"/>
    <col min="3340" max="3340" width="14.7109375" style="5" customWidth="1"/>
    <col min="3341" max="3344" width="9.28515625" style="5" hidden="1" customWidth="1"/>
    <col min="3345" max="3348" width="11.28515625" style="5" customWidth="1"/>
    <col min="3349" max="3349" width="19.7109375" style="5" customWidth="1"/>
    <col min="3350" max="3588" width="9.140625" style="5"/>
    <col min="3589" max="3589" width="10.42578125" style="5" bestFit="1" customWidth="1"/>
    <col min="3590" max="3590" width="13.42578125" style="5" customWidth="1"/>
    <col min="3591" max="3591" width="12.42578125" style="5" customWidth="1"/>
    <col min="3592" max="3592" width="12.5703125" style="5" customWidth="1"/>
    <col min="3593" max="3595" width="13" style="5" customWidth="1"/>
    <col min="3596" max="3596" width="14.7109375" style="5" customWidth="1"/>
    <col min="3597" max="3600" width="9.28515625" style="5" hidden="1" customWidth="1"/>
    <col min="3601" max="3604" width="11.28515625" style="5" customWidth="1"/>
    <col min="3605" max="3605" width="19.7109375" style="5" customWidth="1"/>
    <col min="3606" max="3844" width="9.140625" style="5"/>
    <col min="3845" max="3845" width="10.42578125" style="5" bestFit="1" customWidth="1"/>
    <col min="3846" max="3846" width="13.42578125" style="5" customWidth="1"/>
    <col min="3847" max="3847" width="12.42578125" style="5" customWidth="1"/>
    <col min="3848" max="3848" width="12.5703125" style="5" customWidth="1"/>
    <col min="3849" max="3851" width="13" style="5" customWidth="1"/>
    <col min="3852" max="3852" width="14.7109375" style="5" customWidth="1"/>
    <col min="3853" max="3856" width="9.28515625" style="5" hidden="1" customWidth="1"/>
    <col min="3857" max="3860" width="11.28515625" style="5" customWidth="1"/>
    <col min="3861" max="3861" width="19.7109375" style="5" customWidth="1"/>
    <col min="3862" max="4100" width="9.140625" style="5"/>
    <col min="4101" max="4101" width="10.42578125" style="5" bestFit="1" customWidth="1"/>
    <col min="4102" max="4102" width="13.42578125" style="5" customWidth="1"/>
    <col min="4103" max="4103" width="12.42578125" style="5" customWidth="1"/>
    <col min="4104" max="4104" width="12.5703125" style="5" customWidth="1"/>
    <col min="4105" max="4107" width="13" style="5" customWidth="1"/>
    <col min="4108" max="4108" width="14.7109375" style="5" customWidth="1"/>
    <col min="4109" max="4112" width="9.28515625" style="5" hidden="1" customWidth="1"/>
    <col min="4113" max="4116" width="11.28515625" style="5" customWidth="1"/>
    <col min="4117" max="4117" width="19.7109375" style="5" customWidth="1"/>
    <col min="4118" max="4356" width="9.140625" style="5"/>
    <col min="4357" max="4357" width="10.42578125" style="5" bestFit="1" customWidth="1"/>
    <col min="4358" max="4358" width="13.42578125" style="5" customWidth="1"/>
    <col min="4359" max="4359" width="12.42578125" style="5" customWidth="1"/>
    <col min="4360" max="4360" width="12.5703125" style="5" customWidth="1"/>
    <col min="4361" max="4363" width="13" style="5" customWidth="1"/>
    <col min="4364" max="4364" width="14.7109375" style="5" customWidth="1"/>
    <col min="4365" max="4368" width="9.28515625" style="5" hidden="1" customWidth="1"/>
    <col min="4369" max="4372" width="11.28515625" style="5" customWidth="1"/>
    <col min="4373" max="4373" width="19.7109375" style="5" customWidth="1"/>
    <col min="4374" max="4612" width="9.140625" style="5"/>
    <col min="4613" max="4613" width="10.42578125" style="5" bestFit="1" customWidth="1"/>
    <col min="4614" max="4614" width="13.42578125" style="5" customWidth="1"/>
    <col min="4615" max="4615" width="12.42578125" style="5" customWidth="1"/>
    <col min="4616" max="4616" width="12.5703125" style="5" customWidth="1"/>
    <col min="4617" max="4619" width="13" style="5" customWidth="1"/>
    <col min="4620" max="4620" width="14.7109375" style="5" customWidth="1"/>
    <col min="4621" max="4624" width="9.28515625" style="5" hidden="1" customWidth="1"/>
    <col min="4625" max="4628" width="11.28515625" style="5" customWidth="1"/>
    <col min="4629" max="4629" width="19.7109375" style="5" customWidth="1"/>
    <col min="4630" max="4868" width="9.140625" style="5"/>
    <col min="4869" max="4869" width="10.42578125" style="5" bestFit="1" customWidth="1"/>
    <col min="4870" max="4870" width="13.42578125" style="5" customWidth="1"/>
    <col min="4871" max="4871" width="12.42578125" style="5" customWidth="1"/>
    <col min="4872" max="4872" width="12.5703125" style="5" customWidth="1"/>
    <col min="4873" max="4875" width="13" style="5" customWidth="1"/>
    <col min="4876" max="4876" width="14.7109375" style="5" customWidth="1"/>
    <col min="4877" max="4880" width="9.28515625" style="5" hidden="1" customWidth="1"/>
    <col min="4881" max="4884" width="11.28515625" style="5" customWidth="1"/>
    <col min="4885" max="4885" width="19.7109375" style="5" customWidth="1"/>
    <col min="4886" max="5124" width="9.140625" style="5"/>
    <col min="5125" max="5125" width="10.42578125" style="5" bestFit="1" customWidth="1"/>
    <col min="5126" max="5126" width="13.42578125" style="5" customWidth="1"/>
    <col min="5127" max="5127" width="12.42578125" style="5" customWidth="1"/>
    <col min="5128" max="5128" width="12.5703125" style="5" customWidth="1"/>
    <col min="5129" max="5131" width="13" style="5" customWidth="1"/>
    <col min="5132" max="5132" width="14.7109375" style="5" customWidth="1"/>
    <col min="5133" max="5136" width="9.28515625" style="5" hidden="1" customWidth="1"/>
    <col min="5137" max="5140" width="11.28515625" style="5" customWidth="1"/>
    <col min="5141" max="5141" width="19.7109375" style="5" customWidth="1"/>
    <col min="5142" max="5380" width="9.140625" style="5"/>
    <col min="5381" max="5381" width="10.42578125" style="5" bestFit="1" customWidth="1"/>
    <col min="5382" max="5382" width="13.42578125" style="5" customWidth="1"/>
    <col min="5383" max="5383" width="12.42578125" style="5" customWidth="1"/>
    <col min="5384" max="5384" width="12.5703125" style="5" customWidth="1"/>
    <col min="5385" max="5387" width="13" style="5" customWidth="1"/>
    <col min="5388" max="5388" width="14.7109375" style="5" customWidth="1"/>
    <col min="5389" max="5392" width="9.28515625" style="5" hidden="1" customWidth="1"/>
    <col min="5393" max="5396" width="11.28515625" style="5" customWidth="1"/>
    <col min="5397" max="5397" width="19.7109375" style="5" customWidth="1"/>
    <col min="5398" max="5636" width="9.140625" style="5"/>
    <col min="5637" max="5637" width="10.42578125" style="5" bestFit="1" customWidth="1"/>
    <col min="5638" max="5638" width="13.42578125" style="5" customWidth="1"/>
    <col min="5639" max="5639" width="12.42578125" style="5" customWidth="1"/>
    <col min="5640" max="5640" width="12.5703125" style="5" customWidth="1"/>
    <col min="5641" max="5643" width="13" style="5" customWidth="1"/>
    <col min="5644" max="5644" width="14.7109375" style="5" customWidth="1"/>
    <col min="5645" max="5648" width="9.28515625" style="5" hidden="1" customWidth="1"/>
    <col min="5649" max="5652" width="11.28515625" style="5" customWidth="1"/>
    <col min="5653" max="5653" width="19.7109375" style="5" customWidth="1"/>
    <col min="5654" max="5892" width="9.140625" style="5"/>
    <col min="5893" max="5893" width="10.42578125" style="5" bestFit="1" customWidth="1"/>
    <col min="5894" max="5894" width="13.42578125" style="5" customWidth="1"/>
    <col min="5895" max="5895" width="12.42578125" style="5" customWidth="1"/>
    <col min="5896" max="5896" width="12.5703125" style="5" customWidth="1"/>
    <col min="5897" max="5899" width="13" style="5" customWidth="1"/>
    <col min="5900" max="5900" width="14.7109375" style="5" customWidth="1"/>
    <col min="5901" max="5904" width="9.28515625" style="5" hidden="1" customWidth="1"/>
    <col min="5905" max="5908" width="11.28515625" style="5" customWidth="1"/>
    <col min="5909" max="5909" width="19.7109375" style="5" customWidth="1"/>
    <col min="5910" max="6148" width="9.140625" style="5"/>
    <col min="6149" max="6149" width="10.42578125" style="5" bestFit="1" customWidth="1"/>
    <col min="6150" max="6150" width="13.42578125" style="5" customWidth="1"/>
    <col min="6151" max="6151" width="12.42578125" style="5" customWidth="1"/>
    <col min="6152" max="6152" width="12.5703125" style="5" customWidth="1"/>
    <col min="6153" max="6155" width="13" style="5" customWidth="1"/>
    <col min="6156" max="6156" width="14.7109375" style="5" customWidth="1"/>
    <col min="6157" max="6160" width="9.28515625" style="5" hidden="1" customWidth="1"/>
    <col min="6161" max="6164" width="11.28515625" style="5" customWidth="1"/>
    <col min="6165" max="6165" width="19.7109375" style="5" customWidth="1"/>
    <col min="6166" max="6404" width="9.140625" style="5"/>
    <col min="6405" max="6405" width="10.42578125" style="5" bestFit="1" customWidth="1"/>
    <col min="6406" max="6406" width="13.42578125" style="5" customWidth="1"/>
    <col min="6407" max="6407" width="12.42578125" style="5" customWidth="1"/>
    <col min="6408" max="6408" width="12.5703125" style="5" customWidth="1"/>
    <col min="6409" max="6411" width="13" style="5" customWidth="1"/>
    <col min="6412" max="6412" width="14.7109375" style="5" customWidth="1"/>
    <col min="6413" max="6416" width="9.28515625" style="5" hidden="1" customWidth="1"/>
    <col min="6417" max="6420" width="11.28515625" style="5" customWidth="1"/>
    <col min="6421" max="6421" width="19.7109375" style="5" customWidth="1"/>
    <col min="6422" max="6660" width="9.140625" style="5"/>
    <col min="6661" max="6661" width="10.42578125" style="5" bestFit="1" customWidth="1"/>
    <col min="6662" max="6662" width="13.42578125" style="5" customWidth="1"/>
    <col min="6663" max="6663" width="12.42578125" style="5" customWidth="1"/>
    <col min="6664" max="6664" width="12.5703125" style="5" customWidth="1"/>
    <col min="6665" max="6667" width="13" style="5" customWidth="1"/>
    <col min="6668" max="6668" width="14.7109375" style="5" customWidth="1"/>
    <col min="6669" max="6672" width="9.28515625" style="5" hidden="1" customWidth="1"/>
    <col min="6673" max="6676" width="11.28515625" style="5" customWidth="1"/>
    <col min="6677" max="6677" width="19.7109375" style="5" customWidth="1"/>
    <col min="6678" max="6916" width="9.140625" style="5"/>
    <col min="6917" max="6917" width="10.42578125" style="5" bestFit="1" customWidth="1"/>
    <col min="6918" max="6918" width="13.42578125" style="5" customWidth="1"/>
    <col min="6919" max="6919" width="12.42578125" style="5" customWidth="1"/>
    <col min="6920" max="6920" width="12.5703125" style="5" customWidth="1"/>
    <col min="6921" max="6923" width="13" style="5" customWidth="1"/>
    <col min="6924" max="6924" width="14.7109375" style="5" customWidth="1"/>
    <col min="6925" max="6928" width="9.28515625" style="5" hidden="1" customWidth="1"/>
    <col min="6929" max="6932" width="11.28515625" style="5" customWidth="1"/>
    <col min="6933" max="6933" width="19.7109375" style="5" customWidth="1"/>
    <col min="6934" max="7172" width="9.140625" style="5"/>
    <col min="7173" max="7173" width="10.42578125" style="5" bestFit="1" customWidth="1"/>
    <col min="7174" max="7174" width="13.42578125" style="5" customWidth="1"/>
    <col min="7175" max="7175" width="12.42578125" style="5" customWidth="1"/>
    <col min="7176" max="7176" width="12.5703125" style="5" customWidth="1"/>
    <col min="7177" max="7179" width="13" style="5" customWidth="1"/>
    <col min="7180" max="7180" width="14.7109375" style="5" customWidth="1"/>
    <col min="7181" max="7184" width="9.28515625" style="5" hidden="1" customWidth="1"/>
    <col min="7185" max="7188" width="11.28515625" style="5" customWidth="1"/>
    <col min="7189" max="7189" width="19.7109375" style="5" customWidth="1"/>
    <col min="7190" max="7428" width="9.140625" style="5"/>
    <col min="7429" max="7429" width="10.42578125" style="5" bestFit="1" customWidth="1"/>
    <col min="7430" max="7430" width="13.42578125" style="5" customWidth="1"/>
    <col min="7431" max="7431" width="12.42578125" style="5" customWidth="1"/>
    <col min="7432" max="7432" width="12.5703125" style="5" customWidth="1"/>
    <col min="7433" max="7435" width="13" style="5" customWidth="1"/>
    <col min="7436" max="7436" width="14.7109375" style="5" customWidth="1"/>
    <col min="7437" max="7440" width="9.28515625" style="5" hidden="1" customWidth="1"/>
    <col min="7441" max="7444" width="11.28515625" style="5" customWidth="1"/>
    <col min="7445" max="7445" width="19.7109375" style="5" customWidth="1"/>
    <col min="7446" max="7684" width="9.140625" style="5"/>
    <col min="7685" max="7685" width="10.42578125" style="5" bestFit="1" customWidth="1"/>
    <col min="7686" max="7686" width="13.42578125" style="5" customWidth="1"/>
    <col min="7687" max="7687" width="12.42578125" style="5" customWidth="1"/>
    <col min="7688" max="7688" width="12.5703125" style="5" customWidth="1"/>
    <col min="7689" max="7691" width="13" style="5" customWidth="1"/>
    <col min="7692" max="7692" width="14.7109375" style="5" customWidth="1"/>
    <col min="7693" max="7696" width="9.28515625" style="5" hidden="1" customWidth="1"/>
    <col min="7697" max="7700" width="11.28515625" style="5" customWidth="1"/>
    <col min="7701" max="7701" width="19.7109375" style="5" customWidth="1"/>
    <col min="7702" max="7940" width="9.140625" style="5"/>
    <col min="7941" max="7941" width="10.42578125" style="5" bestFit="1" customWidth="1"/>
    <col min="7942" max="7942" width="13.42578125" style="5" customWidth="1"/>
    <col min="7943" max="7943" width="12.42578125" style="5" customWidth="1"/>
    <col min="7944" max="7944" width="12.5703125" style="5" customWidth="1"/>
    <col min="7945" max="7947" width="13" style="5" customWidth="1"/>
    <col min="7948" max="7948" width="14.7109375" style="5" customWidth="1"/>
    <col min="7949" max="7952" width="9.28515625" style="5" hidden="1" customWidth="1"/>
    <col min="7953" max="7956" width="11.28515625" style="5" customWidth="1"/>
    <col min="7957" max="7957" width="19.7109375" style="5" customWidth="1"/>
    <col min="7958" max="8196" width="9.140625" style="5"/>
    <col min="8197" max="8197" width="10.42578125" style="5" bestFit="1" customWidth="1"/>
    <col min="8198" max="8198" width="13.42578125" style="5" customWidth="1"/>
    <col min="8199" max="8199" width="12.42578125" style="5" customWidth="1"/>
    <col min="8200" max="8200" width="12.5703125" style="5" customWidth="1"/>
    <col min="8201" max="8203" width="13" style="5" customWidth="1"/>
    <col min="8204" max="8204" width="14.7109375" style="5" customWidth="1"/>
    <col min="8205" max="8208" width="9.28515625" style="5" hidden="1" customWidth="1"/>
    <col min="8209" max="8212" width="11.28515625" style="5" customWidth="1"/>
    <col min="8213" max="8213" width="19.7109375" style="5" customWidth="1"/>
    <col min="8214" max="8452" width="9.140625" style="5"/>
    <col min="8453" max="8453" width="10.42578125" style="5" bestFit="1" customWidth="1"/>
    <col min="8454" max="8454" width="13.42578125" style="5" customWidth="1"/>
    <col min="8455" max="8455" width="12.42578125" style="5" customWidth="1"/>
    <col min="8456" max="8456" width="12.5703125" style="5" customWidth="1"/>
    <col min="8457" max="8459" width="13" style="5" customWidth="1"/>
    <col min="8460" max="8460" width="14.7109375" style="5" customWidth="1"/>
    <col min="8461" max="8464" width="9.28515625" style="5" hidden="1" customWidth="1"/>
    <col min="8465" max="8468" width="11.28515625" style="5" customWidth="1"/>
    <col min="8469" max="8469" width="19.7109375" style="5" customWidth="1"/>
    <col min="8470" max="8708" width="9.140625" style="5"/>
    <col min="8709" max="8709" width="10.42578125" style="5" bestFit="1" customWidth="1"/>
    <col min="8710" max="8710" width="13.42578125" style="5" customWidth="1"/>
    <col min="8711" max="8711" width="12.42578125" style="5" customWidth="1"/>
    <col min="8712" max="8712" width="12.5703125" style="5" customWidth="1"/>
    <col min="8713" max="8715" width="13" style="5" customWidth="1"/>
    <col min="8716" max="8716" width="14.7109375" style="5" customWidth="1"/>
    <col min="8717" max="8720" width="9.28515625" style="5" hidden="1" customWidth="1"/>
    <col min="8721" max="8724" width="11.28515625" style="5" customWidth="1"/>
    <col min="8725" max="8725" width="19.7109375" style="5" customWidth="1"/>
    <col min="8726" max="8964" width="9.140625" style="5"/>
    <col min="8965" max="8965" width="10.42578125" style="5" bestFit="1" customWidth="1"/>
    <col min="8966" max="8966" width="13.42578125" style="5" customWidth="1"/>
    <col min="8967" max="8967" width="12.42578125" style="5" customWidth="1"/>
    <col min="8968" max="8968" width="12.5703125" style="5" customWidth="1"/>
    <col min="8969" max="8971" width="13" style="5" customWidth="1"/>
    <col min="8972" max="8972" width="14.7109375" style="5" customWidth="1"/>
    <col min="8973" max="8976" width="9.28515625" style="5" hidden="1" customWidth="1"/>
    <col min="8977" max="8980" width="11.28515625" style="5" customWidth="1"/>
    <col min="8981" max="8981" width="19.7109375" style="5" customWidth="1"/>
    <col min="8982" max="9220" width="9.140625" style="5"/>
    <col min="9221" max="9221" width="10.42578125" style="5" bestFit="1" customWidth="1"/>
    <col min="9222" max="9222" width="13.42578125" style="5" customWidth="1"/>
    <col min="9223" max="9223" width="12.42578125" style="5" customWidth="1"/>
    <col min="9224" max="9224" width="12.5703125" style="5" customWidth="1"/>
    <col min="9225" max="9227" width="13" style="5" customWidth="1"/>
    <col min="9228" max="9228" width="14.7109375" style="5" customWidth="1"/>
    <col min="9229" max="9232" width="9.28515625" style="5" hidden="1" customWidth="1"/>
    <col min="9233" max="9236" width="11.28515625" style="5" customWidth="1"/>
    <col min="9237" max="9237" width="19.7109375" style="5" customWidth="1"/>
    <col min="9238" max="9476" width="9.140625" style="5"/>
    <col min="9477" max="9477" width="10.42578125" style="5" bestFit="1" customWidth="1"/>
    <col min="9478" max="9478" width="13.42578125" style="5" customWidth="1"/>
    <col min="9479" max="9479" width="12.42578125" style="5" customWidth="1"/>
    <col min="9480" max="9480" width="12.5703125" style="5" customWidth="1"/>
    <col min="9481" max="9483" width="13" style="5" customWidth="1"/>
    <col min="9484" max="9484" width="14.7109375" style="5" customWidth="1"/>
    <col min="9485" max="9488" width="9.28515625" style="5" hidden="1" customWidth="1"/>
    <col min="9489" max="9492" width="11.28515625" style="5" customWidth="1"/>
    <col min="9493" max="9493" width="19.7109375" style="5" customWidth="1"/>
    <col min="9494" max="9732" width="9.140625" style="5"/>
    <col min="9733" max="9733" width="10.42578125" style="5" bestFit="1" customWidth="1"/>
    <col min="9734" max="9734" width="13.42578125" style="5" customWidth="1"/>
    <col min="9735" max="9735" width="12.42578125" style="5" customWidth="1"/>
    <col min="9736" max="9736" width="12.5703125" style="5" customWidth="1"/>
    <col min="9737" max="9739" width="13" style="5" customWidth="1"/>
    <col min="9740" max="9740" width="14.7109375" style="5" customWidth="1"/>
    <col min="9741" max="9744" width="9.28515625" style="5" hidden="1" customWidth="1"/>
    <col min="9745" max="9748" width="11.28515625" style="5" customWidth="1"/>
    <col min="9749" max="9749" width="19.7109375" style="5" customWidth="1"/>
    <col min="9750" max="9988" width="9.140625" style="5"/>
    <col min="9989" max="9989" width="10.42578125" style="5" bestFit="1" customWidth="1"/>
    <col min="9990" max="9990" width="13.42578125" style="5" customWidth="1"/>
    <col min="9991" max="9991" width="12.42578125" style="5" customWidth="1"/>
    <col min="9992" max="9992" width="12.5703125" style="5" customWidth="1"/>
    <col min="9993" max="9995" width="13" style="5" customWidth="1"/>
    <col min="9996" max="9996" width="14.7109375" style="5" customWidth="1"/>
    <col min="9997" max="10000" width="9.28515625" style="5" hidden="1" customWidth="1"/>
    <col min="10001" max="10004" width="11.28515625" style="5" customWidth="1"/>
    <col min="10005" max="10005" width="19.7109375" style="5" customWidth="1"/>
    <col min="10006" max="10244" width="9.140625" style="5"/>
    <col min="10245" max="10245" width="10.42578125" style="5" bestFit="1" customWidth="1"/>
    <col min="10246" max="10246" width="13.42578125" style="5" customWidth="1"/>
    <col min="10247" max="10247" width="12.42578125" style="5" customWidth="1"/>
    <col min="10248" max="10248" width="12.5703125" style="5" customWidth="1"/>
    <col min="10249" max="10251" width="13" style="5" customWidth="1"/>
    <col min="10252" max="10252" width="14.7109375" style="5" customWidth="1"/>
    <col min="10253" max="10256" width="9.28515625" style="5" hidden="1" customWidth="1"/>
    <col min="10257" max="10260" width="11.28515625" style="5" customWidth="1"/>
    <col min="10261" max="10261" width="19.7109375" style="5" customWidth="1"/>
    <col min="10262" max="10500" width="9.140625" style="5"/>
    <col min="10501" max="10501" width="10.42578125" style="5" bestFit="1" customWidth="1"/>
    <col min="10502" max="10502" width="13.42578125" style="5" customWidth="1"/>
    <col min="10503" max="10503" width="12.42578125" style="5" customWidth="1"/>
    <col min="10504" max="10504" width="12.5703125" style="5" customWidth="1"/>
    <col min="10505" max="10507" width="13" style="5" customWidth="1"/>
    <col min="10508" max="10508" width="14.7109375" style="5" customWidth="1"/>
    <col min="10509" max="10512" width="9.28515625" style="5" hidden="1" customWidth="1"/>
    <col min="10513" max="10516" width="11.28515625" style="5" customWidth="1"/>
    <col min="10517" max="10517" width="19.7109375" style="5" customWidth="1"/>
    <col min="10518" max="10756" width="9.140625" style="5"/>
    <col min="10757" max="10757" width="10.42578125" style="5" bestFit="1" customWidth="1"/>
    <col min="10758" max="10758" width="13.42578125" style="5" customWidth="1"/>
    <col min="10759" max="10759" width="12.42578125" style="5" customWidth="1"/>
    <col min="10760" max="10760" width="12.5703125" style="5" customWidth="1"/>
    <col min="10761" max="10763" width="13" style="5" customWidth="1"/>
    <col min="10764" max="10764" width="14.7109375" style="5" customWidth="1"/>
    <col min="10765" max="10768" width="9.28515625" style="5" hidden="1" customWidth="1"/>
    <col min="10769" max="10772" width="11.28515625" style="5" customWidth="1"/>
    <col min="10773" max="10773" width="19.7109375" style="5" customWidth="1"/>
    <col min="10774" max="11012" width="9.140625" style="5"/>
    <col min="11013" max="11013" width="10.42578125" style="5" bestFit="1" customWidth="1"/>
    <col min="11014" max="11014" width="13.42578125" style="5" customWidth="1"/>
    <col min="11015" max="11015" width="12.42578125" style="5" customWidth="1"/>
    <col min="11016" max="11016" width="12.5703125" style="5" customWidth="1"/>
    <col min="11017" max="11019" width="13" style="5" customWidth="1"/>
    <col min="11020" max="11020" width="14.7109375" style="5" customWidth="1"/>
    <col min="11021" max="11024" width="9.28515625" style="5" hidden="1" customWidth="1"/>
    <col min="11025" max="11028" width="11.28515625" style="5" customWidth="1"/>
    <col min="11029" max="11029" width="19.7109375" style="5" customWidth="1"/>
    <col min="11030" max="11268" width="9.140625" style="5"/>
    <col min="11269" max="11269" width="10.42578125" style="5" bestFit="1" customWidth="1"/>
    <col min="11270" max="11270" width="13.42578125" style="5" customWidth="1"/>
    <col min="11271" max="11271" width="12.42578125" style="5" customWidth="1"/>
    <col min="11272" max="11272" width="12.5703125" style="5" customWidth="1"/>
    <col min="11273" max="11275" width="13" style="5" customWidth="1"/>
    <col min="11276" max="11276" width="14.7109375" style="5" customWidth="1"/>
    <col min="11277" max="11280" width="9.28515625" style="5" hidden="1" customWidth="1"/>
    <col min="11281" max="11284" width="11.28515625" style="5" customWidth="1"/>
    <col min="11285" max="11285" width="19.7109375" style="5" customWidth="1"/>
    <col min="11286" max="11524" width="9.140625" style="5"/>
    <col min="11525" max="11525" width="10.42578125" style="5" bestFit="1" customWidth="1"/>
    <col min="11526" max="11526" width="13.42578125" style="5" customWidth="1"/>
    <col min="11527" max="11527" width="12.42578125" style="5" customWidth="1"/>
    <col min="11528" max="11528" width="12.5703125" style="5" customWidth="1"/>
    <col min="11529" max="11531" width="13" style="5" customWidth="1"/>
    <col min="11532" max="11532" width="14.7109375" style="5" customWidth="1"/>
    <col min="11533" max="11536" width="9.28515625" style="5" hidden="1" customWidth="1"/>
    <col min="11537" max="11540" width="11.28515625" style="5" customWidth="1"/>
    <col min="11541" max="11541" width="19.7109375" style="5" customWidth="1"/>
    <col min="11542" max="11780" width="9.140625" style="5"/>
    <col min="11781" max="11781" width="10.42578125" style="5" bestFit="1" customWidth="1"/>
    <col min="11782" max="11782" width="13.42578125" style="5" customWidth="1"/>
    <col min="11783" max="11783" width="12.42578125" style="5" customWidth="1"/>
    <col min="11784" max="11784" width="12.5703125" style="5" customWidth="1"/>
    <col min="11785" max="11787" width="13" style="5" customWidth="1"/>
    <col min="11788" max="11788" width="14.7109375" style="5" customWidth="1"/>
    <col min="11789" max="11792" width="9.28515625" style="5" hidden="1" customWidth="1"/>
    <col min="11793" max="11796" width="11.28515625" style="5" customWidth="1"/>
    <col min="11797" max="11797" width="19.7109375" style="5" customWidth="1"/>
    <col min="11798" max="12036" width="9.140625" style="5"/>
    <col min="12037" max="12037" width="10.42578125" style="5" bestFit="1" customWidth="1"/>
    <col min="12038" max="12038" width="13.42578125" style="5" customWidth="1"/>
    <col min="12039" max="12039" width="12.42578125" style="5" customWidth="1"/>
    <col min="12040" max="12040" width="12.5703125" style="5" customWidth="1"/>
    <col min="12041" max="12043" width="13" style="5" customWidth="1"/>
    <col min="12044" max="12044" width="14.7109375" style="5" customWidth="1"/>
    <col min="12045" max="12048" width="9.28515625" style="5" hidden="1" customWidth="1"/>
    <col min="12049" max="12052" width="11.28515625" style="5" customWidth="1"/>
    <col min="12053" max="12053" width="19.7109375" style="5" customWidth="1"/>
    <col min="12054" max="12292" width="9.140625" style="5"/>
    <col min="12293" max="12293" width="10.42578125" style="5" bestFit="1" customWidth="1"/>
    <col min="12294" max="12294" width="13.42578125" style="5" customWidth="1"/>
    <col min="12295" max="12295" width="12.42578125" style="5" customWidth="1"/>
    <col min="12296" max="12296" width="12.5703125" style="5" customWidth="1"/>
    <col min="12297" max="12299" width="13" style="5" customWidth="1"/>
    <col min="12300" max="12300" width="14.7109375" style="5" customWidth="1"/>
    <col min="12301" max="12304" width="9.28515625" style="5" hidden="1" customWidth="1"/>
    <col min="12305" max="12308" width="11.28515625" style="5" customWidth="1"/>
    <col min="12309" max="12309" width="19.7109375" style="5" customWidth="1"/>
    <col min="12310" max="12548" width="9.140625" style="5"/>
    <col min="12549" max="12549" width="10.42578125" style="5" bestFit="1" customWidth="1"/>
    <col min="12550" max="12550" width="13.42578125" style="5" customWidth="1"/>
    <col min="12551" max="12551" width="12.42578125" style="5" customWidth="1"/>
    <col min="12552" max="12552" width="12.5703125" style="5" customWidth="1"/>
    <col min="12553" max="12555" width="13" style="5" customWidth="1"/>
    <col min="12556" max="12556" width="14.7109375" style="5" customWidth="1"/>
    <col min="12557" max="12560" width="9.28515625" style="5" hidden="1" customWidth="1"/>
    <col min="12561" max="12564" width="11.28515625" style="5" customWidth="1"/>
    <col min="12565" max="12565" width="19.7109375" style="5" customWidth="1"/>
    <col min="12566" max="12804" width="9.140625" style="5"/>
    <col min="12805" max="12805" width="10.42578125" style="5" bestFit="1" customWidth="1"/>
    <col min="12806" max="12806" width="13.42578125" style="5" customWidth="1"/>
    <col min="12807" max="12807" width="12.42578125" style="5" customWidth="1"/>
    <col min="12808" max="12808" width="12.5703125" style="5" customWidth="1"/>
    <col min="12809" max="12811" width="13" style="5" customWidth="1"/>
    <col min="12812" max="12812" width="14.7109375" style="5" customWidth="1"/>
    <col min="12813" max="12816" width="9.28515625" style="5" hidden="1" customWidth="1"/>
    <col min="12817" max="12820" width="11.28515625" style="5" customWidth="1"/>
    <col min="12821" max="12821" width="19.7109375" style="5" customWidth="1"/>
    <col min="12822" max="13060" width="9.140625" style="5"/>
    <col min="13061" max="13061" width="10.42578125" style="5" bestFit="1" customWidth="1"/>
    <col min="13062" max="13062" width="13.42578125" style="5" customWidth="1"/>
    <col min="13063" max="13063" width="12.42578125" style="5" customWidth="1"/>
    <col min="13064" max="13064" width="12.5703125" style="5" customWidth="1"/>
    <col min="13065" max="13067" width="13" style="5" customWidth="1"/>
    <col min="13068" max="13068" width="14.7109375" style="5" customWidth="1"/>
    <col min="13069" max="13072" width="9.28515625" style="5" hidden="1" customWidth="1"/>
    <col min="13073" max="13076" width="11.28515625" style="5" customWidth="1"/>
    <col min="13077" max="13077" width="19.7109375" style="5" customWidth="1"/>
    <col min="13078" max="13316" width="9.140625" style="5"/>
    <col min="13317" max="13317" width="10.42578125" style="5" bestFit="1" customWidth="1"/>
    <col min="13318" max="13318" width="13.42578125" style="5" customWidth="1"/>
    <col min="13319" max="13319" width="12.42578125" style="5" customWidth="1"/>
    <col min="13320" max="13320" width="12.5703125" style="5" customWidth="1"/>
    <col min="13321" max="13323" width="13" style="5" customWidth="1"/>
    <col min="13324" max="13324" width="14.7109375" style="5" customWidth="1"/>
    <col min="13325" max="13328" width="9.28515625" style="5" hidden="1" customWidth="1"/>
    <col min="13329" max="13332" width="11.28515625" style="5" customWidth="1"/>
    <col min="13333" max="13333" width="19.7109375" style="5" customWidth="1"/>
    <col min="13334" max="13572" width="9.140625" style="5"/>
    <col min="13573" max="13573" width="10.42578125" style="5" bestFit="1" customWidth="1"/>
    <col min="13574" max="13574" width="13.42578125" style="5" customWidth="1"/>
    <col min="13575" max="13575" width="12.42578125" style="5" customWidth="1"/>
    <col min="13576" max="13576" width="12.5703125" style="5" customWidth="1"/>
    <col min="13577" max="13579" width="13" style="5" customWidth="1"/>
    <col min="13580" max="13580" width="14.7109375" style="5" customWidth="1"/>
    <col min="13581" max="13584" width="9.28515625" style="5" hidden="1" customWidth="1"/>
    <col min="13585" max="13588" width="11.28515625" style="5" customWidth="1"/>
    <col min="13589" max="13589" width="19.7109375" style="5" customWidth="1"/>
    <col min="13590" max="13828" width="9.140625" style="5"/>
    <col min="13829" max="13829" width="10.42578125" style="5" bestFit="1" customWidth="1"/>
    <col min="13830" max="13830" width="13.42578125" style="5" customWidth="1"/>
    <col min="13831" max="13831" width="12.42578125" style="5" customWidth="1"/>
    <col min="13832" max="13832" width="12.5703125" style="5" customWidth="1"/>
    <col min="13833" max="13835" width="13" style="5" customWidth="1"/>
    <col min="13836" max="13836" width="14.7109375" style="5" customWidth="1"/>
    <col min="13837" max="13840" width="9.28515625" style="5" hidden="1" customWidth="1"/>
    <col min="13841" max="13844" width="11.28515625" style="5" customWidth="1"/>
    <col min="13845" max="13845" width="19.7109375" style="5" customWidth="1"/>
    <col min="13846" max="14084" width="9.140625" style="5"/>
    <col min="14085" max="14085" width="10.42578125" style="5" bestFit="1" customWidth="1"/>
    <col min="14086" max="14086" width="13.42578125" style="5" customWidth="1"/>
    <col min="14087" max="14087" width="12.42578125" style="5" customWidth="1"/>
    <col min="14088" max="14088" width="12.5703125" style="5" customWidth="1"/>
    <col min="14089" max="14091" width="13" style="5" customWidth="1"/>
    <col min="14092" max="14092" width="14.7109375" style="5" customWidth="1"/>
    <col min="14093" max="14096" width="9.28515625" style="5" hidden="1" customWidth="1"/>
    <col min="14097" max="14100" width="11.28515625" style="5" customWidth="1"/>
    <col min="14101" max="14101" width="19.7109375" style="5" customWidth="1"/>
    <col min="14102" max="14340" width="9.140625" style="5"/>
    <col min="14341" max="14341" width="10.42578125" style="5" bestFit="1" customWidth="1"/>
    <col min="14342" max="14342" width="13.42578125" style="5" customWidth="1"/>
    <col min="14343" max="14343" width="12.42578125" style="5" customWidth="1"/>
    <col min="14344" max="14344" width="12.5703125" style="5" customWidth="1"/>
    <col min="14345" max="14347" width="13" style="5" customWidth="1"/>
    <col min="14348" max="14348" width="14.7109375" style="5" customWidth="1"/>
    <col min="14349" max="14352" width="9.28515625" style="5" hidden="1" customWidth="1"/>
    <col min="14353" max="14356" width="11.28515625" style="5" customWidth="1"/>
    <col min="14357" max="14357" width="19.7109375" style="5" customWidth="1"/>
    <col min="14358" max="14596" width="9.140625" style="5"/>
    <col min="14597" max="14597" width="10.42578125" style="5" bestFit="1" customWidth="1"/>
    <col min="14598" max="14598" width="13.42578125" style="5" customWidth="1"/>
    <col min="14599" max="14599" width="12.42578125" style="5" customWidth="1"/>
    <col min="14600" max="14600" width="12.5703125" style="5" customWidth="1"/>
    <col min="14601" max="14603" width="13" style="5" customWidth="1"/>
    <col min="14604" max="14604" width="14.7109375" style="5" customWidth="1"/>
    <col min="14605" max="14608" width="9.28515625" style="5" hidden="1" customWidth="1"/>
    <col min="14609" max="14612" width="11.28515625" style="5" customWidth="1"/>
    <col min="14613" max="14613" width="19.7109375" style="5" customWidth="1"/>
    <col min="14614" max="14852" width="9.140625" style="5"/>
    <col min="14853" max="14853" width="10.42578125" style="5" bestFit="1" customWidth="1"/>
    <col min="14854" max="14854" width="13.42578125" style="5" customWidth="1"/>
    <col min="14855" max="14855" width="12.42578125" style="5" customWidth="1"/>
    <col min="14856" max="14856" width="12.5703125" style="5" customWidth="1"/>
    <col min="14857" max="14859" width="13" style="5" customWidth="1"/>
    <col min="14860" max="14860" width="14.7109375" style="5" customWidth="1"/>
    <col min="14861" max="14864" width="9.28515625" style="5" hidden="1" customWidth="1"/>
    <col min="14865" max="14868" width="11.28515625" style="5" customWidth="1"/>
    <col min="14869" max="14869" width="19.7109375" style="5" customWidth="1"/>
    <col min="14870" max="15108" width="9.140625" style="5"/>
    <col min="15109" max="15109" width="10.42578125" style="5" bestFit="1" customWidth="1"/>
    <col min="15110" max="15110" width="13.42578125" style="5" customWidth="1"/>
    <col min="15111" max="15111" width="12.42578125" style="5" customWidth="1"/>
    <col min="15112" max="15112" width="12.5703125" style="5" customWidth="1"/>
    <col min="15113" max="15115" width="13" style="5" customWidth="1"/>
    <col min="15116" max="15116" width="14.7109375" style="5" customWidth="1"/>
    <col min="15117" max="15120" width="9.28515625" style="5" hidden="1" customWidth="1"/>
    <col min="15121" max="15124" width="11.28515625" style="5" customWidth="1"/>
    <col min="15125" max="15125" width="19.7109375" style="5" customWidth="1"/>
    <col min="15126" max="15364" width="9.140625" style="5"/>
    <col min="15365" max="15365" width="10.42578125" style="5" bestFit="1" customWidth="1"/>
    <col min="15366" max="15366" width="13.42578125" style="5" customWidth="1"/>
    <col min="15367" max="15367" width="12.42578125" style="5" customWidth="1"/>
    <col min="15368" max="15368" width="12.5703125" style="5" customWidth="1"/>
    <col min="15369" max="15371" width="13" style="5" customWidth="1"/>
    <col min="15372" max="15372" width="14.7109375" style="5" customWidth="1"/>
    <col min="15373" max="15376" width="9.28515625" style="5" hidden="1" customWidth="1"/>
    <col min="15377" max="15380" width="11.28515625" style="5" customWidth="1"/>
    <col min="15381" max="15381" width="19.7109375" style="5" customWidth="1"/>
    <col min="15382" max="15620" width="9.140625" style="5"/>
    <col min="15621" max="15621" width="10.42578125" style="5" bestFit="1" customWidth="1"/>
    <col min="15622" max="15622" width="13.42578125" style="5" customWidth="1"/>
    <col min="15623" max="15623" width="12.42578125" style="5" customWidth="1"/>
    <col min="15624" max="15624" width="12.5703125" style="5" customWidth="1"/>
    <col min="15625" max="15627" width="13" style="5" customWidth="1"/>
    <col min="15628" max="15628" width="14.7109375" style="5" customWidth="1"/>
    <col min="15629" max="15632" width="9.28515625" style="5" hidden="1" customWidth="1"/>
    <col min="15633" max="15636" width="11.28515625" style="5" customWidth="1"/>
    <col min="15637" max="15637" width="19.7109375" style="5" customWidth="1"/>
    <col min="15638" max="15876" width="9.140625" style="5"/>
    <col min="15877" max="15877" width="10.42578125" style="5" bestFit="1" customWidth="1"/>
    <col min="15878" max="15878" width="13.42578125" style="5" customWidth="1"/>
    <col min="15879" max="15879" width="12.42578125" style="5" customWidth="1"/>
    <col min="15880" max="15880" width="12.5703125" style="5" customWidth="1"/>
    <col min="15881" max="15883" width="13" style="5" customWidth="1"/>
    <col min="15884" max="15884" width="14.7109375" style="5" customWidth="1"/>
    <col min="15885" max="15888" width="9.28515625" style="5" hidden="1" customWidth="1"/>
    <col min="15889" max="15892" width="11.28515625" style="5" customWidth="1"/>
    <col min="15893" max="15893" width="19.7109375" style="5" customWidth="1"/>
    <col min="15894" max="16132" width="9.140625" style="5"/>
    <col min="16133" max="16133" width="10.42578125" style="5" bestFit="1" customWidth="1"/>
    <col min="16134" max="16134" width="13.42578125" style="5" customWidth="1"/>
    <col min="16135" max="16135" width="12.42578125" style="5" customWidth="1"/>
    <col min="16136" max="16136" width="12.5703125" style="5" customWidth="1"/>
    <col min="16137" max="16139" width="13" style="5" customWidth="1"/>
    <col min="16140" max="16140" width="14.7109375" style="5" customWidth="1"/>
    <col min="16141" max="16144" width="9.28515625" style="5" hidden="1" customWidth="1"/>
    <col min="16145" max="16148" width="11.28515625" style="5" customWidth="1"/>
    <col min="16149" max="16149" width="19.7109375" style="5" customWidth="1"/>
    <col min="16150" max="16384" width="9.140625" style="5"/>
  </cols>
  <sheetData>
    <row r="1" spans="1:25" ht="13.5" thickBot="1">
      <c r="A1" s="1" t="s">
        <v>0</v>
      </c>
      <c r="B1" s="205" t="s">
        <v>124</v>
      </c>
      <c r="C1" s="205"/>
      <c r="D1" s="205"/>
      <c r="E1" s="127"/>
      <c r="F1" s="127"/>
      <c r="G1" s="1" t="s">
        <v>1</v>
      </c>
      <c r="H1" s="2">
        <v>9</v>
      </c>
      <c r="I1" s="2"/>
      <c r="J1" s="3" t="s">
        <v>2</v>
      </c>
      <c r="K1" s="4">
        <v>44197</v>
      </c>
      <c r="N1" s="208" t="s">
        <v>3</v>
      </c>
      <c r="O1" s="208"/>
    </row>
    <row r="2" spans="1:25">
      <c r="A2" s="1" t="s">
        <v>4</v>
      </c>
      <c r="B2" s="206">
        <v>249356565</v>
      </c>
      <c r="C2" s="206"/>
      <c r="D2" s="206"/>
      <c r="E2" s="128"/>
      <c r="F2" s="128"/>
      <c r="H2" s="6"/>
      <c r="I2" s="6"/>
      <c r="J2" s="3" t="s">
        <v>5</v>
      </c>
      <c r="K2" s="4">
        <v>22486</v>
      </c>
      <c r="M2" s="7">
        <v>2007</v>
      </c>
      <c r="N2" s="11">
        <v>2007</v>
      </c>
      <c r="O2" s="11">
        <v>2007</v>
      </c>
      <c r="Q2" s="8">
        <v>58000</v>
      </c>
      <c r="R2" s="9"/>
      <c r="S2" s="9"/>
      <c r="T2" s="8">
        <v>19500</v>
      </c>
      <c r="U2" s="10"/>
    </row>
    <row r="3" spans="1:25">
      <c r="A3" s="11" t="s">
        <v>6</v>
      </c>
      <c r="B3" s="11" t="s">
        <v>7</v>
      </c>
      <c r="C3" s="11" t="s">
        <v>138</v>
      </c>
      <c r="D3" s="11" t="s">
        <v>8</v>
      </c>
      <c r="E3" s="11" t="s">
        <v>140</v>
      </c>
      <c r="F3" s="11" t="s">
        <v>8</v>
      </c>
      <c r="G3" s="11" t="s">
        <v>9</v>
      </c>
      <c r="H3" s="11" t="s">
        <v>10</v>
      </c>
      <c r="I3" s="11" t="s">
        <v>53</v>
      </c>
      <c r="J3" s="3" t="s">
        <v>11</v>
      </c>
      <c r="K3" s="35">
        <v>79333.320000000007</v>
      </c>
      <c r="L3" s="49"/>
      <c r="M3" s="12" t="s">
        <v>12</v>
      </c>
      <c r="N3" s="13" t="s">
        <v>13</v>
      </c>
      <c r="O3" s="13" t="s">
        <v>13</v>
      </c>
      <c r="Q3" s="14">
        <f>-SUM(D30+F30+G30)</f>
        <v>-23418.480000000003</v>
      </c>
      <c r="T3" s="14">
        <v>0</v>
      </c>
      <c r="U3" s="15" t="s">
        <v>14</v>
      </c>
      <c r="W3" s="16"/>
    </row>
    <row r="4" spans="1:25" ht="13.5" thickBot="1">
      <c r="A4" s="17" t="s">
        <v>15</v>
      </c>
      <c r="B4" s="13" t="s">
        <v>16</v>
      </c>
      <c r="C4" s="13" t="s">
        <v>139</v>
      </c>
      <c r="D4" s="13" t="s">
        <v>16</v>
      </c>
      <c r="E4" s="13" t="s">
        <v>139</v>
      </c>
      <c r="F4" s="13" t="s">
        <v>16</v>
      </c>
      <c r="G4" s="13" t="s">
        <v>16</v>
      </c>
      <c r="H4" s="13" t="s">
        <v>16</v>
      </c>
      <c r="I4" s="13" t="s">
        <v>16</v>
      </c>
      <c r="J4" s="3" t="s">
        <v>17</v>
      </c>
      <c r="K4" s="121">
        <f>K3/9</f>
        <v>8814.8133333333335</v>
      </c>
      <c r="L4" s="49"/>
      <c r="M4" s="12" t="s">
        <v>16</v>
      </c>
      <c r="N4" s="13" t="s">
        <v>18</v>
      </c>
      <c r="O4" s="13" t="s">
        <v>19</v>
      </c>
      <c r="Q4" s="19">
        <f>SUM(Q2:Q3)</f>
        <v>34581.519999999997</v>
      </c>
      <c r="R4" s="20" t="s">
        <v>44</v>
      </c>
      <c r="S4" s="20"/>
      <c r="T4" s="14">
        <v>6500</v>
      </c>
      <c r="U4" s="15" t="s">
        <v>20</v>
      </c>
      <c r="W4" s="16"/>
    </row>
    <row r="5" spans="1:25">
      <c r="A5" s="21" t="s">
        <v>21</v>
      </c>
      <c r="B5" s="21" t="s">
        <v>22</v>
      </c>
      <c r="C5" s="21"/>
      <c r="D5" s="21" t="s">
        <v>46</v>
      </c>
      <c r="E5" s="21"/>
      <c r="F5" s="21" t="s">
        <v>117</v>
      </c>
      <c r="G5" s="21" t="s">
        <v>118</v>
      </c>
      <c r="H5" s="21">
        <v>26000</v>
      </c>
      <c r="I5" s="21">
        <v>26000</v>
      </c>
      <c r="J5" s="3" t="s">
        <v>26</v>
      </c>
      <c r="K5" s="35">
        <f>K4/2</f>
        <v>4407.4066666666668</v>
      </c>
      <c r="L5" s="49"/>
      <c r="M5" s="22" t="s">
        <v>27</v>
      </c>
      <c r="N5" s="21" t="s">
        <v>28</v>
      </c>
      <c r="O5" s="21" t="s">
        <v>28</v>
      </c>
      <c r="T5" s="14">
        <f>-F30</f>
        <v>-2927.3200000000006</v>
      </c>
      <c r="U5" s="15" t="s">
        <v>29</v>
      </c>
      <c r="W5" s="16"/>
    </row>
    <row r="6" spans="1:25" ht="13.5" thickBot="1">
      <c r="A6" s="23">
        <v>40553</v>
      </c>
      <c r="B6" s="24">
        <v>0</v>
      </c>
      <c r="C6" s="154">
        <f>B6*0.075</f>
        <v>0</v>
      </c>
      <c r="D6" s="25">
        <v>0</v>
      </c>
      <c r="E6" s="172">
        <f>B6*0.025</f>
        <v>0</v>
      </c>
      <c r="F6" s="25">
        <v>0</v>
      </c>
      <c r="G6" s="26">
        <f t="shared" ref="G6:G21" si="0">D6+F6</f>
        <v>0</v>
      </c>
      <c r="H6" s="27">
        <v>0</v>
      </c>
      <c r="I6" s="27">
        <v>0</v>
      </c>
      <c r="K6" s="16"/>
      <c r="L6" s="28"/>
      <c r="M6" s="29" t="e">
        <f>IF(#REF!/5&gt;$H$6,H6,(#REF!/5))</f>
        <v>#REF!</v>
      </c>
      <c r="N6" s="30" t="e">
        <f>#REF!/5</f>
        <v>#REF!</v>
      </c>
      <c r="O6" s="30" t="e">
        <f>#REF!/5 +H6</f>
        <v>#REF!</v>
      </c>
      <c r="Q6" s="76" t="s">
        <v>116</v>
      </c>
      <c r="R6" s="77"/>
      <c r="S6" s="77"/>
      <c r="T6" s="19">
        <f>SUM(T2:T5)</f>
        <v>23072.68</v>
      </c>
      <c r="U6" s="32" t="s">
        <v>93</v>
      </c>
      <c r="W6" s="16"/>
    </row>
    <row r="7" spans="1:25" ht="13.5" thickBot="1">
      <c r="A7" s="23">
        <v>40568</v>
      </c>
      <c r="B7" s="24">
        <v>4312.51</v>
      </c>
      <c r="C7" s="155">
        <f t="shared" ref="C7:C29" si="1">B7*0.075</f>
        <v>323.43824999999998</v>
      </c>
      <c r="D7" s="25">
        <v>0</v>
      </c>
      <c r="E7" s="172">
        <f t="shared" ref="E7:E29" si="2">B7*0.025</f>
        <v>107.81275000000001</v>
      </c>
      <c r="F7" s="25">
        <v>0</v>
      </c>
      <c r="G7" s="26">
        <f t="shared" si="0"/>
        <v>0</v>
      </c>
      <c r="H7" s="27">
        <v>0</v>
      </c>
      <c r="I7" s="27">
        <v>0</v>
      </c>
      <c r="K7" s="16"/>
      <c r="L7" s="28"/>
      <c r="M7" s="29" t="e">
        <f>IF(#REF!/5&gt;$H$6,#REF!,(#REF!/5))</f>
        <v>#REF!</v>
      </c>
      <c r="N7" s="30" t="e">
        <f>#REF!/5</f>
        <v>#REF!</v>
      </c>
      <c r="O7" s="30" t="e">
        <f>#REF!/5 +#REF!</f>
        <v>#REF!</v>
      </c>
      <c r="Q7" s="76" t="s">
        <v>107</v>
      </c>
      <c r="R7" s="77"/>
      <c r="S7" s="77"/>
      <c r="T7" s="78" t="s">
        <v>45</v>
      </c>
      <c r="U7" s="79"/>
      <c r="W7" s="16"/>
    </row>
    <row r="8" spans="1:25">
      <c r="A8" s="23">
        <v>40584</v>
      </c>
      <c r="B8" s="24">
        <v>4312.51</v>
      </c>
      <c r="C8" s="155">
        <f t="shared" si="1"/>
        <v>323.43824999999998</v>
      </c>
      <c r="D8" s="25">
        <v>0</v>
      </c>
      <c r="E8" s="172">
        <f t="shared" si="2"/>
        <v>107.81275000000001</v>
      </c>
      <c r="F8" s="25">
        <v>0</v>
      </c>
      <c r="G8" s="26">
        <f t="shared" si="0"/>
        <v>0</v>
      </c>
      <c r="H8" s="27">
        <v>0</v>
      </c>
      <c r="I8" s="27">
        <v>0</v>
      </c>
      <c r="K8" s="16"/>
      <c r="L8" s="28"/>
      <c r="M8" s="29" t="e">
        <f>IF(#REF!/5&gt;$H$6,H10,(#REF!/5))</f>
        <v>#REF!</v>
      </c>
      <c r="N8" s="30" t="e">
        <f>#REF!/5</f>
        <v>#REF!</v>
      </c>
      <c r="O8" s="30" t="e">
        <f>#REF!/5+H10</f>
        <v>#REF!</v>
      </c>
      <c r="Q8" s="31"/>
      <c r="T8" s="33">
        <f>Q4</f>
        <v>34581.519999999997</v>
      </c>
      <c r="U8" s="34" t="s">
        <v>101</v>
      </c>
      <c r="W8" s="16"/>
    </row>
    <row r="9" spans="1:25">
      <c r="A9" s="23">
        <v>40599</v>
      </c>
      <c r="B9" s="24">
        <v>7062.52</v>
      </c>
      <c r="C9" s="155">
        <f t="shared" si="1"/>
        <v>529.68899999999996</v>
      </c>
      <c r="D9" s="25">
        <v>0</v>
      </c>
      <c r="E9" s="172">
        <f t="shared" si="2"/>
        <v>176.56300000000002</v>
      </c>
      <c r="F9" s="25">
        <v>0</v>
      </c>
      <c r="G9" s="26">
        <f t="shared" si="0"/>
        <v>0</v>
      </c>
      <c r="H9" s="27">
        <v>0</v>
      </c>
      <c r="I9" s="27">
        <v>0</v>
      </c>
      <c r="K9" s="16"/>
      <c r="L9" s="28"/>
      <c r="M9" s="29" t="e">
        <f>IF(#REF!/5&gt;$H$6,H11,(#REF!/5))</f>
        <v>#REF!</v>
      </c>
      <c r="N9" s="30" t="e">
        <f>#REF!/5</f>
        <v>#REF!</v>
      </c>
      <c r="O9" s="30" t="e">
        <f>#REF!/5+H10</f>
        <v>#REF!</v>
      </c>
      <c r="Q9" s="35"/>
      <c r="R9" s="36"/>
      <c r="S9" s="36"/>
      <c r="T9" s="14">
        <v>0</v>
      </c>
      <c r="U9" s="15" t="s">
        <v>14</v>
      </c>
      <c r="W9" s="16"/>
    </row>
    <row r="10" spans="1:25">
      <c r="A10" s="23">
        <v>40612</v>
      </c>
      <c r="B10" s="24">
        <v>5229.1499999999996</v>
      </c>
      <c r="C10" s="155">
        <f t="shared" si="1"/>
        <v>392.18624999999997</v>
      </c>
      <c r="D10" s="25">
        <v>0</v>
      </c>
      <c r="E10" s="172">
        <f t="shared" si="2"/>
        <v>130.72874999999999</v>
      </c>
      <c r="F10" s="25">
        <v>0</v>
      </c>
      <c r="G10" s="26">
        <f t="shared" si="0"/>
        <v>0</v>
      </c>
      <c r="H10" s="27">
        <v>0</v>
      </c>
      <c r="I10" s="27">
        <v>0</v>
      </c>
      <c r="K10" s="80" t="s">
        <v>109</v>
      </c>
      <c r="L10" s="81"/>
      <c r="M10" s="82"/>
      <c r="N10" s="83"/>
      <c r="O10" s="83"/>
      <c r="P10" s="84"/>
      <c r="Q10" s="85"/>
      <c r="R10" s="86"/>
      <c r="S10" s="84"/>
      <c r="T10" s="14">
        <v>6500</v>
      </c>
      <c r="U10" s="15" t="s">
        <v>20</v>
      </c>
      <c r="W10" s="16"/>
    </row>
    <row r="11" spans="1:25" ht="13.5" thickBot="1">
      <c r="A11" s="23">
        <v>40627</v>
      </c>
      <c r="B11" s="24">
        <v>5229.1499999999996</v>
      </c>
      <c r="C11" s="155">
        <f t="shared" si="1"/>
        <v>392.18624999999997</v>
      </c>
      <c r="D11" s="25">
        <v>0</v>
      </c>
      <c r="E11" s="172">
        <f t="shared" si="2"/>
        <v>130.72874999999999</v>
      </c>
      <c r="F11" s="25">
        <v>0</v>
      </c>
      <c r="G11" s="26">
        <f t="shared" si="0"/>
        <v>0</v>
      </c>
      <c r="H11" s="27">
        <v>0</v>
      </c>
      <c r="I11" s="27">
        <v>0</v>
      </c>
      <c r="K11" s="80" t="s">
        <v>97</v>
      </c>
      <c r="L11" s="81"/>
      <c r="M11" s="87"/>
      <c r="N11" s="88"/>
      <c r="O11" s="88"/>
      <c r="P11" s="84"/>
      <c r="Q11" s="85"/>
      <c r="R11" s="86"/>
      <c r="S11" s="84"/>
      <c r="T11" s="19">
        <f>SUM(T8:T10)</f>
        <v>41081.519999999997</v>
      </c>
      <c r="U11" s="37"/>
      <c r="W11" s="41"/>
    </row>
    <row r="12" spans="1:25" ht="13.5" thickBot="1">
      <c r="A12" s="23">
        <v>40643</v>
      </c>
      <c r="B12" s="24">
        <v>5229.1499999999996</v>
      </c>
      <c r="C12" s="155">
        <f t="shared" si="1"/>
        <v>392.18624999999997</v>
      </c>
      <c r="D12" s="25">
        <v>0</v>
      </c>
      <c r="E12" s="172">
        <f t="shared" si="2"/>
        <v>130.72874999999999</v>
      </c>
      <c r="F12" s="25">
        <v>0</v>
      </c>
      <c r="G12" s="26">
        <f t="shared" si="0"/>
        <v>0</v>
      </c>
      <c r="H12" s="27">
        <v>0</v>
      </c>
      <c r="I12" s="27">
        <v>0</v>
      </c>
      <c r="K12" s="80" t="s">
        <v>112</v>
      </c>
      <c r="L12" s="84"/>
      <c r="M12" s="87"/>
      <c r="N12" s="88"/>
      <c r="O12" s="90"/>
      <c r="P12" s="84"/>
      <c r="Q12" s="85"/>
      <c r="R12" s="86"/>
      <c r="S12" s="84"/>
      <c r="T12" s="38"/>
      <c r="U12" s="39"/>
      <c r="W12" s="31"/>
      <c r="X12" s="31"/>
      <c r="Y12" s="89"/>
    </row>
    <row r="13" spans="1:25" ht="13.5" thickBot="1">
      <c r="A13" s="23">
        <v>40658</v>
      </c>
      <c r="B13" s="24">
        <v>5229.1499999999996</v>
      </c>
      <c r="C13" s="155">
        <f t="shared" si="1"/>
        <v>392.18624999999997</v>
      </c>
      <c r="D13" s="25">
        <v>0</v>
      </c>
      <c r="E13" s="172">
        <f t="shared" si="2"/>
        <v>130.72874999999999</v>
      </c>
      <c r="F13" s="25">
        <v>0</v>
      </c>
      <c r="G13" s="26">
        <f t="shared" si="0"/>
        <v>0</v>
      </c>
      <c r="H13" s="27">
        <v>0</v>
      </c>
      <c r="I13" s="27">
        <v>0</v>
      </c>
      <c r="K13" s="80" t="s">
        <v>105</v>
      </c>
      <c r="L13" s="81"/>
      <c r="M13" s="91" t="e">
        <v>#REF!</v>
      </c>
      <c r="N13" s="92" t="e">
        <v>#REF!</v>
      </c>
      <c r="O13" s="92" t="e">
        <v>#REF!</v>
      </c>
      <c r="P13" s="84"/>
      <c r="Q13" s="85"/>
      <c r="R13" s="86"/>
      <c r="S13" s="84"/>
      <c r="T13" s="40" t="s">
        <v>30</v>
      </c>
      <c r="U13" s="10"/>
      <c r="W13" s="89"/>
      <c r="X13" s="89"/>
    </row>
    <row r="14" spans="1:25">
      <c r="A14" s="23">
        <v>40673</v>
      </c>
      <c r="B14" s="24">
        <v>5229.1499999999996</v>
      </c>
      <c r="C14" s="155">
        <f t="shared" si="1"/>
        <v>392.18624999999997</v>
      </c>
      <c r="D14" s="25">
        <v>0</v>
      </c>
      <c r="E14" s="172">
        <f t="shared" si="2"/>
        <v>130.72874999999999</v>
      </c>
      <c r="F14" s="25">
        <v>0</v>
      </c>
      <c r="G14" s="26">
        <f t="shared" si="0"/>
        <v>0</v>
      </c>
      <c r="H14" s="27">
        <v>0</v>
      </c>
      <c r="I14" s="27">
        <v>0</v>
      </c>
      <c r="M14" s="209" t="e">
        <f>IF(#REF!&gt;=0,"Total&lt;45K eligible for SRA","&gt;45K Not eligible for SRA")</f>
        <v>#REF!</v>
      </c>
      <c r="N14" s="210"/>
      <c r="O14" s="211"/>
      <c r="Q14" s="31"/>
      <c r="R14" s="41"/>
      <c r="T14" s="14">
        <f>IF(T11&lt;T6,T11,T6)</f>
        <v>23072.68</v>
      </c>
      <c r="U14" s="42" t="s">
        <v>31</v>
      </c>
      <c r="W14" s="31"/>
      <c r="X14" s="31"/>
    </row>
    <row r="15" spans="1:25">
      <c r="A15" s="23">
        <v>40688</v>
      </c>
      <c r="B15" s="24">
        <v>5229.1499999999996</v>
      </c>
      <c r="C15" s="155">
        <f t="shared" si="1"/>
        <v>392.18624999999997</v>
      </c>
      <c r="D15" s="25">
        <v>0</v>
      </c>
      <c r="E15" s="172">
        <f t="shared" si="2"/>
        <v>130.72874999999999</v>
      </c>
      <c r="F15" s="25">
        <v>0</v>
      </c>
      <c r="G15" s="26">
        <f t="shared" si="0"/>
        <v>0</v>
      </c>
      <c r="H15" s="27">
        <v>0</v>
      </c>
      <c r="I15" s="27">
        <v>0</v>
      </c>
      <c r="M15" s="212" t="e">
        <f>IF(#REF!&gt;=0,IF(#REF!&gt;=0,"SRA OK","SRA need to be adjusted"), "&gt;45K Not eligible for SRA")</f>
        <v>#REF!</v>
      </c>
      <c r="N15" s="213"/>
      <c r="O15" s="214"/>
      <c r="Q15" s="44"/>
      <c r="R15" s="41"/>
      <c r="T15" s="14">
        <f t="shared" ref="T15:T38" si="3">T14-H6</f>
        <v>23072.68</v>
      </c>
      <c r="U15" s="23">
        <v>40553</v>
      </c>
      <c r="W15" s="31"/>
    </row>
    <row r="16" spans="1:25">
      <c r="A16" s="23">
        <v>40704</v>
      </c>
      <c r="B16" s="24">
        <v>5229.1499999999996</v>
      </c>
      <c r="C16" s="155">
        <f t="shared" si="1"/>
        <v>392.18624999999997</v>
      </c>
      <c r="D16" s="25">
        <v>0</v>
      </c>
      <c r="E16" s="172">
        <f t="shared" si="2"/>
        <v>130.72874999999999</v>
      </c>
      <c r="F16" s="25">
        <v>0</v>
      </c>
      <c r="G16" s="26">
        <f t="shared" si="0"/>
        <v>0</v>
      </c>
      <c r="H16" s="27">
        <v>0</v>
      </c>
      <c r="I16" s="27">
        <v>0</v>
      </c>
      <c r="J16" s="3"/>
      <c r="M16" s="45"/>
      <c r="N16" s="45"/>
      <c r="O16" s="45"/>
      <c r="P16" s="45"/>
      <c r="Q16" s="45"/>
      <c r="R16" s="46"/>
      <c r="S16" s="46"/>
      <c r="T16" s="14">
        <f t="shared" si="3"/>
        <v>23072.68</v>
      </c>
      <c r="U16" s="23">
        <v>40568</v>
      </c>
      <c r="W16" s="31"/>
    </row>
    <row r="17" spans="1:27">
      <c r="A17" s="23">
        <v>40719</v>
      </c>
      <c r="B17" s="24">
        <v>5229.1499999999996</v>
      </c>
      <c r="C17" s="155">
        <f t="shared" si="1"/>
        <v>392.18624999999997</v>
      </c>
      <c r="D17" s="25">
        <v>0</v>
      </c>
      <c r="E17" s="172">
        <f t="shared" si="2"/>
        <v>130.72874999999999</v>
      </c>
      <c r="F17" s="25">
        <v>0</v>
      </c>
      <c r="G17" s="26">
        <f t="shared" si="0"/>
        <v>0</v>
      </c>
      <c r="H17" s="27">
        <v>0</v>
      </c>
      <c r="I17" s="27">
        <v>0</v>
      </c>
      <c r="M17" s="47"/>
      <c r="N17" s="45"/>
      <c r="O17" s="45"/>
      <c r="P17" s="45"/>
      <c r="Q17" s="48"/>
      <c r="R17" s="45"/>
      <c r="S17" s="46"/>
      <c r="T17" s="14">
        <f t="shared" si="3"/>
        <v>23072.68</v>
      </c>
      <c r="U17" s="23">
        <v>40584</v>
      </c>
      <c r="W17" s="31"/>
    </row>
    <row r="18" spans="1:27">
      <c r="A18" s="23">
        <v>40369</v>
      </c>
      <c r="B18" s="24">
        <v>5229.1499999999996</v>
      </c>
      <c r="C18" s="155">
        <f t="shared" si="1"/>
        <v>392.18624999999997</v>
      </c>
      <c r="D18" s="25">
        <v>0</v>
      </c>
      <c r="E18" s="172">
        <f t="shared" si="2"/>
        <v>130.72874999999999</v>
      </c>
      <c r="F18" s="25">
        <v>0</v>
      </c>
      <c r="G18" s="26">
        <f t="shared" si="0"/>
        <v>0</v>
      </c>
      <c r="H18" s="27">
        <v>0</v>
      </c>
      <c r="I18" s="27">
        <v>0</v>
      </c>
      <c r="M18" s="45"/>
      <c r="N18" s="45"/>
      <c r="O18" s="45"/>
      <c r="P18" s="45"/>
      <c r="T18" s="14">
        <f t="shared" si="3"/>
        <v>23072.68</v>
      </c>
      <c r="U18" s="23">
        <v>40599</v>
      </c>
      <c r="W18" s="31"/>
      <c r="Z18" s="31"/>
      <c r="AA18" s="31"/>
    </row>
    <row r="19" spans="1:27">
      <c r="A19" s="23">
        <v>40384</v>
      </c>
      <c r="B19" s="24">
        <v>5229.1499999999996</v>
      </c>
      <c r="C19" s="155">
        <f t="shared" si="1"/>
        <v>392.18624999999997</v>
      </c>
      <c r="D19" s="25">
        <v>0</v>
      </c>
      <c r="E19" s="172">
        <f t="shared" si="2"/>
        <v>130.72874999999999</v>
      </c>
      <c r="F19" s="25">
        <v>0</v>
      </c>
      <c r="G19" s="26">
        <f t="shared" si="0"/>
        <v>0</v>
      </c>
      <c r="H19" s="27">
        <v>0</v>
      </c>
      <c r="I19" s="27">
        <v>0</v>
      </c>
      <c r="M19" s="49"/>
      <c r="T19" s="14">
        <f t="shared" si="3"/>
        <v>23072.68</v>
      </c>
      <c r="U19" s="23">
        <v>40612</v>
      </c>
    </row>
    <row r="20" spans="1:27">
      <c r="A20" s="23">
        <v>40400</v>
      </c>
      <c r="B20" s="24">
        <v>5229.18</v>
      </c>
      <c r="C20" s="155">
        <f t="shared" si="1"/>
        <v>392.18850000000003</v>
      </c>
      <c r="D20" s="25">
        <v>0</v>
      </c>
      <c r="E20" s="172">
        <f t="shared" si="2"/>
        <v>130.7295</v>
      </c>
      <c r="F20" s="25">
        <v>0</v>
      </c>
      <c r="G20" s="26">
        <f t="shared" si="0"/>
        <v>0</v>
      </c>
      <c r="H20" s="27">
        <v>0</v>
      </c>
      <c r="I20" s="27">
        <v>0</v>
      </c>
      <c r="J20" s="50"/>
      <c r="K20" s="45"/>
      <c r="L20" s="45"/>
      <c r="T20" s="14">
        <f t="shared" si="3"/>
        <v>23072.68</v>
      </c>
      <c r="U20" s="23">
        <v>40627</v>
      </c>
    </row>
    <row r="21" spans="1:27">
      <c r="A21" s="23">
        <v>40415</v>
      </c>
      <c r="B21" s="24">
        <v>5229.1499999999996</v>
      </c>
      <c r="C21" s="155">
        <f t="shared" si="1"/>
        <v>392.18624999999997</v>
      </c>
      <c r="D21" s="25">
        <v>0</v>
      </c>
      <c r="E21" s="172">
        <f t="shared" si="2"/>
        <v>130.72874999999999</v>
      </c>
      <c r="F21" s="25">
        <v>0</v>
      </c>
      <c r="G21" s="26">
        <f t="shared" si="0"/>
        <v>0</v>
      </c>
      <c r="H21" s="27">
        <v>0</v>
      </c>
      <c r="I21" s="27">
        <v>0</v>
      </c>
      <c r="J21" s="50"/>
      <c r="K21" s="51"/>
      <c r="L21" s="45"/>
      <c r="M21" s="52"/>
      <c r="T21" s="14">
        <f t="shared" si="3"/>
        <v>23072.68</v>
      </c>
      <c r="U21" s="23">
        <v>40643</v>
      </c>
      <c r="Z21" s="31"/>
    </row>
    <row r="22" spans="1:27">
      <c r="A22" s="23">
        <v>40066</v>
      </c>
      <c r="B22" s="24">
        <v>7803.19</v>
      </c>
      <c r="C22" s="155">
        <f t="shared" si="1"/>
        <v>585.23924999999997</v>
      </c>
      <c r="D22" s="25">
        <v>1003.4</v>
      </c>
      <c r="E22" s="172">
        <f t="shared" si="2"/>
        <v>195.07974999999999</v>
      </c>
      <c r="F22" s="25">
        <v>334.47</v>
      </c>
      <c r="G22" s="26">
        <f>195.08+585.24</f>
        <v>780.32</v>
      </c>
      <c r="H22" s="27">
        <v>0</v>
      </c>
      <c r="I22" s="27">
        <v>0</v>
      </c>
      <c r="J22" s="53"/>
      <c r="K22" s="53"/>
      <c r="L22" s="53"/>
      <c r="M22" s="52"/>
      <c r="T22" s="14">
        <f t="shared" si="3"/>
        <v>23072.68</v>
      </c>
      <c r="U22" s="23">
        <v>40658</v>
      </c>
      <c r="Z22" s="31"/>
    </row>
    <row r="23" spans="1:27">
      <c r="A23" s="23">
        <v>40081</v>
      </c>
      <c r="B23" s="24">
        <v>4407.41</v>
      </c>
      <c r="C23" s="155">
        <f t="shared" si="1"/>
        <v>330.55574999999999</v>
      </c>
      <c r="D23" s="25">
        <v>1003.4</v>
      </c>
      <c r="E23" s="172">
        <f t="shared" si="2"/>
        <v>110.18525</v>
      </c>
      <c r="F23" s="25">
        <v>334.47</v>
      </c>
      <c r="G23" s="26">
        <f>110.19+330.56</f>
        <v>440.75</v>
      </c>
      <c r="H23" s="27">
        <v>0</v>
      </c>
      <c r="I23" s="27">
        <v>0</v>
      </c>
      <c r="J23" s="53"/>
      <c r="K23" s="53"/>
      <c r="L23" s="53"/>
      <c r="T23" s="14">
        <f t="shared" si="3"/>
        <v>23072.68</v>
      </c>
      <c r="U23" s="23">
        <v>40673</v>
      </c>
      <c r="W23" s="31"/>
      <c r="Z23" s="31"/>
    </row>
    <row r="24" spans="1:27">
      <c r="A24" s="23">
        <v>40096</v>
      </c>
      <c r="B24" s="24">
        <v>4407.41</v>
      </c>
      <c r="C24" s="155">
        <f t="shared" si="1"/>
        <v>330.55574999999999</v>
      </c>
      <c r="D24" s="25">
        <v>1003.4</v>
      </c>
      <c r="E24" s="172">
        <f t="shared" si="2"/>
        <v>110.18525</v>
      </c>
      <c r="F24" s="25">
        <v>334.47</v>
      </c>
      <c r="G24" s="26">
        <f>110.19+330.56</f>
        <v>440.75</v>
      </c>
      <c r="H24" s="27">
        <v>0</v>
      </c>
      <c r="I24" s="27">
        <v>0</v>
      </c>
      <c r="J24" s="53"/>
      <c r="K24" s="53"/>
      <c r="L24" s="53"/>
      <c r="M24" s="207"/>
      <c r="N24" s="207"/>
      <c r="O24" s="207"/>
      <c r="T24" s="14">
        <f t="shared" si="3"/>
        <v>23072.68</v>
      </c>
      <c r="U24" s="23">
        <v>40688</v>
      </c>
      <c r="W24" s="31"/>
      <c r="Z24" s="31"/>
    </row>
    <row r="25" spans="1:27">
      <c r="A25" s="23">
        <v>40111</v>
      </c>
      <c r="B25" s="24">
        <v>4407.41</v>
      </c>
      <c r="C25" s="155">
        <f t="shared" si="1"/>
        <v>330.55574999999999</v>
      </c>
      <c r="D25" s="25">
        <v>1003.4</v>
      </c>
      <c r="E25" s="172">
        <f t="shared" si="2"/>
        <v>110.18525</v>
      </c>
      <c r="F25" s="25">
        <v>334.47</v>
      </c>
      <c r="G25" s="26">
        <f>110.19+330.56</f>
        <v>440.75</v>
      </c>
      <c r="H25" s="27">
        <v>0</v>
      </c>
      <c r="I25" s="27">
        <v>0</v>
      </c>
      <c r="J25" s="54"/>
      <c r="K25" s="55"/>
      <c r="L25" s="54"/>
      <c r="M25" s="207"/>
      <c r="N25" s="207"/>
      <c r="O25" s="207"/>
      <c r="T25" s="14">
        <f t="shared" si="3"/>
        <v>23072.68</v>
      </c>
      <c r="U25" s="23">
        <v>40704</v>
      </c>
      <c r="W25" s="31"/>
    </row>
    <row r="26" spans="1:27">
      <c r="A26" s="23">
        <v>40127</v>
      </c>
      <c r="B26" s="24">
        <v>4407.41</v>
      </c>
      <c r="C26" s="155">
        <f t="shared" si="1"/>
        <v>330.55574999999999</v>
      </c>
      <c r="D26" s="95">
        <v>1192.08</v>
      </c>
      <c r="E26" s="172">
        <f t="shared" si="2"/>
        <v>110.18525</v>
      </c>
      <c r="F26" s="95">
        <v>397.36</v>
      </c>
      <c r="G26" s="96">
        <f>9606.67/4</f>
        <v>2401.6675</v>
      </c>
      <c r="H26" s="27">
        <v>0</v>
      </c>
      <c r="I26" s="27">
        <v>0</v>
      </c>
      <c r="J26" s="50"/>
      <c r="K26" s="45"/>
      <c r="L26" s="45"/>
      <c r="T26" s="14">
        <f t="shared" si="3"/>
        <v>23072.68</v>
      </c>
      <c r="U26" s="23">
        <v>40719</v>
      </c>
      <c r="W26" s="31"/>
    </row>
    <row r="27" spans="1:27" ht="15" customHeight="1">
      <c r="A27" s="23">
        <v>40142</v>
      </c>
      <c r="B27" s="24">
        <v>4407.41</v>
      </c>
      <c r="C27" s="155">
        <f t="shared" si="1"/>
        <v>330.55574999999999</v>
      </c>
      <c r="D27" s="95">
        <v>1192.08</v>
      </c>
      <c r="E27" s="172">
        <f t="shared" si="2"/>
        <v>110.18525</v>
      </c>
      <c r="F27" s="95">
        <v>397.36</v>
      </c>
      <c r="G27" s="96">
        <f>9606.67/4</f>
        <v>2401.6675</v>
      </c>
      <c r="H27" s="27">
        <v>0</v>
      </c>
      <c r="I27" s="27">
        <v>0</v>
      </c>
      <c r="J27" s="56"/>
      <c r="K27" s="56"/>
      <c r="L27" s="56"/>
      <c r="T27" s="14">
        <f t="shared" si="3"/>
        <v>23072.68</v>
      </c>
      <c r="U27" s="23">
        <v>40369</v>
      </c>
      <c r="W27" s="31"/>
    </row>
    <row r="28" spans="1:27">
      <c r="A28" s="23">
        <v>40157</v>
      </c>
      <c r="B28" s="24">
        <v>4407.41</v>
      </c>
      <c r="C28" s="155">
        <f t="shared" si="1"/>
        <v>330.55574999999999</v>
      </c>
      <c r="D28" s="95">
        <v>1192.08</v>
      </c>
      <c r="E28" s="172">
        <f t="shared" si="2"/>
        <v>110.18525</v>
      </c>
      <c r="F28" s="95">
        <v>397.36</v>
      </c>
      <c r="G28" s="96">
        <f>9606.67/4</f>
        <v>2401.6675</v>
      </c>
      <c r="H28" s="27">
        <v>0</v>
      </c>
      <c r="I28" s="27">
        <v>0</v>
      </c>
      <c r="J28" s="56"/>
      <c r="K28" s="56"/>
      <c r="L28" s="56"/>
      <c r="M28" s="45"/>
      <c r="N28" s="45"/>
      <c r="O28" s="45"/>
      <c r="P28" s="45"/>
      <c r="Q28" s="48"/>
      <c r="R28" s="45"/>
      <c r="S28" s="46"/>
      <c r="T28" s="14">
        <f t="shared" si="3"/>
        <v>23072.68</v>
      </c>
      <c r="U28" s="23">
        <v>40384</v>
      </c>
      <c r="W28" s="89"/>
    </row>
    <row r="29" spans="1:27" ht="13.5" thickBot="1">
      <c r="A29" s="23">
        <v>39441</v>
      </c>
      <c r="B29" s="24">
        <v>4407.41</v>
      </c>
      <c r="C29" s="155">
        <f t="shared" si="1"/>
        <v>330.55574999999999</v>
      </c>
      <c r="D29" s="95">
        <v>1192.08</v>
      </c>
      <c r="E29" s="173">
        <f t="shared" si="2"/>
        <v>110.18525</v>
      </c>
      <c r="F29" s="133">
        <v>397.36</v>
      </c>
      <c r="G29" s="109">
        <f>9606.67/4</f>
        <v>2401.6675</v>
      </c>
      <c r="H29" s="27">
        <v>0</v>
      </c>
      <c r="I29" s="27">
        <v>0</v>
      </c>
      <c r="J29" s="56"/>
      <c r="K29" s="56"/>
      <c r="L29" s="56"/>
      <c r="M29" s="57"/>
      <c r="N29" s="57"/>
      <c r="O29" s="57"/>
      <c r="P29" s="57"/>
      <c r="T29" s="14">
        <f t="shared" si="3"/>
        <v>23072.68</v>
      </c>
      <c r="U29" s="23">
        <v>40400</v>
      </c>
      <c r="W29" s="89" t="s">
        <v>32</v>
      </c>
    </row>
    <row r="30" spans="1:27">
      <c r="A30" s="58" t="s">
        <v>33</v>
      </c>
      <c r="B30" s="59">
        <f>SUM(B6:B29)</f>
        <v>117092.43000000002</v>
      </c>
      <c r="C30" s="59">
        <f>SUM(C6:C29)</f>
        <v>8781.9322499999944</v>
      </c>
      <c r="D30" s="59">
        <f>SUM(D6:D29)</f>
        <v>8781.92</v>
      </c>
      <c r="E30" s="94">
        <f>SUM(E6:E29)</f>
        <v>2927.3107499999996</v>
      </c>
      <c r="F30" s="94">
        <f>SUM(F6:F29)</f>
        <v>2927.3200000000006</v>
      </c>
      <c r="G30" s="94">
        <f>D30+F30</f>
        <v>11709.240000000002</v>
      </c>
      <c r="H30" s="59">
        <f>SUM(H6:H29)</f>
        <v>0</v>
      </c>
      <c r="I30" s="59">
        <f>SUM(I6:I29)</f>
        <v>0</v>
      </c>
      <c r="J30" s="44"/>
      <c r="K30" s="132"/>
      <c r="L30" s="44"/>
      <c r="M30" s="57"/>
      <c r="N30" s="57"/>
      <c r="O30" s="57"/>
      <c r="P30" s="57"/>
      <c r="T30" s="14">
        <f t="shared" si="3"/>
        <v>23072.68</v>
      </c>
      <c r="U30" s="23">
        <v>40415</v>
      </c>
      <c r="W30" s="89" t="s">
        <v>32</v>
      </c>
    </row>
    <row r="31" spans="1:27" ht="13.5" thickBot="1">
      <c r="A31" s="63"/>
      <c r="B31" s="64"/>
      <c r="C31" s="64"/>
      <c r="D31" s="64"/>
      <c r="E31" s="64"/>
      <c r="F31" s="64"/>
      <c r="G31" s="64">
        <f>SUM(G6:G29)</f>
        <v>11709.24</v>
      </c>
      <c r="H31" s="65"/>
      <c r="I31" s="65"/>
      <c r="J31" s="44"/>
      <c r="K31" s="132"/>
      <c r="L31" s="44"/>
      <c r="M31" s="57"/>
      <c r="N31" s="57"/>
      <c r="O31" s="57"/>
      <c r="P31" s="57"/>
      <c r="T31" s="14">
        <f t="shared" si="3"/>
        <v>23072.68</v>
      </c>
      <c r="U31" s="23">
        <v>40066</v>
      </c>
      <c r="W31" s="89" t="s">
        <v>32</v>
      </c>
    </row>
    <row r="32" spans="1:27">
      <c r="H32" s="45"/>
      <c r="I32" s="45"/>
      <c r="J32" s="57"/>
      <c r="K32" s="57"/>
      <c r="L32" s="57"/>
      <c r="M32" s="57"/>
      <c r="N32" s="57"/>
      <c r="O32" s="57"/>
      <c r="P32" s="57"/>
      <c r="T32" s="14">
        <f t="shared" si="3"/>
        <v>23072.68</v>
      </c>
      <c r="U32" s="23">
        <v>40081</v>
      </c>
      <c r="W32" s="89" t="s">
        <v>32</v>
      </c>
    </row>
    <row r="33" spans="2:21" ht="15">
      <c r="B33" s="31">
        <f>B30*0.075</f>
        <v>8781.9322500000017</v>
      </c>
      <c r="C33" s="31"/>
      <c r="E33" s="31">
        <f>B30*0.025</f>
        <v>2927.3107500000006</v>
      </c>
      <c r="F33" s="136"/>
      <c r="I33" s="36"/>
      <c r="J33" s="57"/>
      <c r="K33" s="57"/>
      <c r="L33" s="57"/>
      <c r="M33" s="57"/>
      <c r="N33" s="57"/>
      <c r="O33" s="57"/>
      <c r="P33" s="57"/>
      <c r="T33" s="14">
        <f t="shared" si="3"/>
        <v>23072.68</v>
      </c>
      <c r="U33" s="23">
        <v>40096</v>
      </c>
    </row>
    <row r="34" spans="2:21">
      <c r="B34" s="156">
        <f>B33-D30</f>
        <v>1.2250000001586159E-2</v>
      </c>
      <c r="C34" s="157" t="s">
        <v>119</v>
      </c>
      <c r="E34" s="156">
        <f>E33-F30</f>
        <v>-9.2500000000654836E-3</v>
      </c>
      <c r="F34" s="156" t="s">
        <v>120</v>
      </c>
      <c r="G34" s="156">
        <f>G30-G31</f>
        <v>0</v>
      </c>
      <c r="H34" s="158" t="s">
        <v>125</v>
      </c>
      <c r="I34" s="69"/>
      <c r="J34" s="57"/>
      <c r="K34" s="57"/>
      <c r="L34" s="57"/>
      <c r="M34" s="57"/>
      <c r="N34" s="57"/>
      <c r="O34" s="57"/>
      <c r="P34" s="57"/>
      <c r="T34" s="14">
        <f t="shared" si="3"/>
        <v>23072.68</v>
      </c>
      <c r="U34" s="23">
        <v>40111</v>
      </c>
    </row>
    <row r="35" spans="2:21">
      <c r="D35" s="31"/>
      <c r="E35" s="31"/>
      <c r="F35" s="31"/>
      <c r="H35" s="36"/>
      <c r="J35" s="57"/>
      <c r="K35" s="57"/>
      <c r="L35" s="57"/>
      <c r="M35" s="57"/>
      <c r="N35" s="57"/>
      <c r="O35" s="57"/>
      <c r="P35" s="57"/>
      <c r="T35" s="14">
        <f t="shared" si="3"/>
        <v>23072.68</v>
      </c>
      <c r="U35" s="23">
        <v>40127</v>
      </c>
    </row>
    <row r="36" spans="2:21">
      <c r="D36" s="31"/>
      <c r="E36" s="31"/>
      <c r="F36" s="31"/>
      <c r="H36" s="36"/>
      <c r="J36" s="70"/>
      <c r="K36" s="57"/>
      <c r="L36" s="57"/>
      <c r="M36" s="57"/>
      <c r="N36" s="57"/>
      <c r="O36" s="57"/>
      <c r="P36" s="57"/>
      <c r="T36" s="14">
        <f t="shared" si="3"/>
        <v>23072.68</v>
      </c>
      <c r="U36" s="23">
        <v>40142</v>
      </c>
    </row>
    <row r="37" spans="2:21">
      <c r="D37" s="31"/>
      <c r="E37" s="31"/>
      <c r="F37" s="31"/>
      <c r="J37" s="57"/>
      <c r="K37" s="57"/>
      <c r="L37" s="57"/>
      <c r="M37" s="57"/>
      <c r="N37" s="57"/>
      <c r="O37" s="57"/>
      <c r="P37" s="57"/>
      <c r="T37" s="14">
        <f t="shared" si="3"/>
        <v>23072.68</v>
      </c>
      <c r="U37" s="23">
        <v>40157</v>
      </c>
    </row>
    <row r="38" spans="2:21" ht="13.5" thickBot="1">
      <c r="D38" s="31"/>
      <c r="E38" s="31"/>
      <c r="F38" s="31"/>
      <c r="J38" s="57"/>
      <c r="K38" s="57"/>
      <c r="L38" s="57"/>
      <c r="M38" s="57"/>
      <c r="N38" s="57"/>
      <c r="O38" s="57"/>
      <c r="P38" s="57"/>
      <c r="Q38" s="5" t="s">
        <v>42</v>
      </c>
      <c r="T38" s="19">
        <f t="shared" si="3"/>
        <v>23072.68</v>
      </c>
      <c r="U38" s="71">
        <v>39441</v>
      </c>
    </row>
    <row r="39" spans="2:21">
      <c r="J39" s="57"/>
      <c r="K39" s="57"/>
      <c r="L39" s="57"/>
      <c r="M39" s="57"/>
      <c r="N39" s="57"/>
      <c r="O39" s="57"/>
      <c r="P39" s="57"/>
    </row>
    <row r="40" spans="2:21">
      <c r="B40" s="72"/>
      <c r="C40" s="72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</row>
    <row r="41" spans="2:21">
      <c r="B41" s="70">
        <f>754.73/4</f>
        <v>188.6825</v>
      </c>
      <c r="C41" s="72"/>
      <c r="D41" s="57"/>
      <c r="E41" s="70">
        <f>251.55/4</f>
        <v>62.887500000000003</v>
      </c>
      <c r="F41" s="57"/>
      <c r="G41" s="57">
        <f>2401.67*0.75</f>
        <v>1801.2525000000001</v>
      </c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</row>
    <row r="42" spans="2:21">
      <c r="B42" s="70">
        <f>1003.4+188.68</f>
        <v>1192.08</v>
      </c>
      <c r="C42" s="72"/>
      <c r="D42" s="57"/>
      <c r="E42" s="70">
        <f>334.47+62.89</f>
        <v>397.36</v>
      </c>
      <c r="F42" s="57"/>
      <c r="G42" s="57">
        <f>2401.67*0.25</f>
        <v>600.41750000000002</v>
      </c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</row>
    <row r="43" spans="2:21">
      <c r="B43" s="72"/>
      <c r="C43" s="72"/>
      <c r="D43" s="57"/>
      <c r="E43" s="57"/>
      <c r="F43" s="57"/>
      <c r="G43" s="57">
        <f>SUM(G41:G42)</f>
        <v>2401.67</v>
      </c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</row>
    <row r="44" spans="2:21">
      <c r="B44" s="72"/>
      <c r="C44" s="72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</row>
    <row r="45" spans="2:21">
      <c r="B45" s="72"/>
      <c r="C45" s="72"/>
      <c r="D45" s="57"/>
      <c r="E45" s="57"/>
      <c r="F45" s="57"/>
      <c r="G45" s="57"/>
      <c r="H45" s="57"/>
      <c r="I45" s="57"/>
      <c r="J45" s="57"/>
      <c r="K45" s="57"/>
      <c r="L45" s="57"/>
    </row>
    <row r="46" spans="2:21">
      <c r="B46" s="57"/>
      <c r="C46" s="57"/>
      <c r="D46" s="70"/>
      <c r="E46" s="70"/>
      <c r="F46" s="70"/>
      <c r="G46" s="70"/>
      <c r="H46" s="57"/>
      <c r="I46" s="57"/>
    </row>
    <row r="48" spans="2:21">
      <c r="D48" s="31"/>
      <c r="E48" s="31"/>
      <c r="F48" s="31"/>
    </row>
  </sheetData>
  <mergeCells count="7">
    <mergeCell ref="M25:O25"/>
    <mergeCell ref="B1:D1"/>
    <mergeCell ref="N1:O1"/>
    <mergeCell ref="B2:D2"/>
    <mergeCell ref="M14:O14"/>
    <mergeCell ref="M15:O15"/>
    <mergeCell ref="M24:O24"/>
  </mergeCells>
  <pageMargins left="0.45" right="0.4" top="1" bottom="0.72" header="0.5" footer="0.5"/>
  <pageSetup paperSize="14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80"/>
  <dimension ref="A1:WVS48"/>
  <sheetViews>
    <sheetView topLeftCell="A11" zoomScale="85" zoomScaleNormal="85" workbookViewId="0">
      <selection activeCell="E48" sqref="E48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124</v>
      </c>
      <c r="C1" s="205"/>
      <c r="D1" s="205"/>
      <c r="E1" s="127"/>
      <c r="F1" s="127"/>
      <c r="G1" s="1" t="s">
        <v>1</v>
      </c>
      <c r="H1" s="2">
        <v>9</v>
      </c>
      <c r="I1" s="3" t="s">
        <v>2</v>
      </c>
      <c r="J1" s="4">
        <v>44197</v>
      </c>
    </row>
    <row r="2" spans="1:20">
      <c r="A2" s="1" t="s">
        <v>4</v>
      </c>
      <c r="B2" s="206">
        <v>249356565</v>
      </c>
      <c r="C2" s="206"/>
      <c r="D2" s="206"/>
      <c r="E2" s="128"/>
      <c r="F2" s="128"/>
      <c r="H2" s="6"/>
      <c r="I2" s="3" t="s">
        <v>5</v>
      </c>
      <c r="J2" s="4">
        <v>22486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5">
        <v>79333.320000000007</v>
      </c>
      <c r="K3" s="49"/>
      <c r="L3" s="14">
        <f>-SUM(C30+D30+E30+F30)</f>
        <v>-15535.854000000001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J3/9</f>
        <v>8814.8133333333335</v>
      </c>
      <c r="K4" s="49"/>
      <c r="L4" s="19">
        <f>SUM(L2:L3)</f>
        <v>42464.146000000001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19500</v>
      </c>
      <c r="H5" s="21">
        <v>19500</v>
      </c>
      <c r="I5" s="3" t="s">
        <v>26</v>
      </c>
      <c r="J5" s="35">
        <f>J4/2</f>
        <v>4407.4066666666668</v>
      </c>
      <c r="K5" s="49"/>
      <c r="O5" s="14">
        <f>-D30</f>
        <v>-2971.7855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23028.214500000002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9" si="2">B7*0.075</f>
        <v>0</v>
      </c>
      <c r="F7" s="25">
        <f t="shared" ref="F7:F29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42464.146000000001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48964.146000000001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23028.214500000002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23028.214500000002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23028.214500000002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23028.214500000002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23028.214500000002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23028.214500000002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23028.214500000002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23028.214500000002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23028.214500000002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23028.214500000002</v>
      </c>
      <c r="P23" s="23">
        <v>40673</v>
      </c>
      <c r="R23" s="31"/>
      <c r="U23" s="31"/>
    </row>
    <row r="24" spans="1:22">
      <c r="A24" s="23">
        <v>40096</v>
      </c>
      <c r="B24" s="98">
        <v>0</v>
      </c>
      <c r="C24" s="25">
        <f t="shared" si="0"/>
        <v>0</v>
      </c>
      <c r="D24" s="25">
        <f>B24*0.025</f>
        <v>0</v>
      </c>
      <c r="E24" s="26">
        <f>B24*0.075</f>
        <v>0</v>
      </c>
      <c r="F24" s="25">
        <f>B24*0.025</f>
        <v>0</v>
      </c>
      <c r="G24" s="27">
        <v>0</v>
      </c>
      <c r="H24" s="27">
        <v>0</v>
      </c>
      <c r="I24" s="53"/>
      <c r="J24" s="53"/>
      <c r="K24" s="53"/>
      <c r="O24" s="14">
        <f t="shared" si="4"/>
        <v>23028.214500000002</v>
      </c>
      <c r="P24" s="23">
        <v>40688</v>
      </c>
      <c r="R24" s="31"/>
      <c r="U24" s="31"/>
    </row>
    <row r="25" spans="1:22">
      <c r="A25" s="23">
        <v>40111</v>
      </c>
      <c r="B25" s="98">
        <v>0</v>
      </c>
      <c r="C25" s="25">
        <f t="shared" si="0"/>
        <v>0</v>
      </c>
      <c r="D25" s="25">
        <f>B25*0.025</f>
        <v>0</v>
      </c>
      <c r="E25" s="26">
        <f>B25*0.075</f>
        <v>0</v>
      </c>
      <c r="F25" s="25">
        <f>B25*0.025</f>
        <v>0</v>
      </c>
      <c r="G25" s="27">
        <v>0</v>
      </c>
      <c r="H25" s="27">
        <v>0</v>
      </c>
      <c r="I25" s="54"/>
      <c r="J25" s="55"/>
      <c r="K25" s="54"/>
      <c r="O25" s="14">
        <f t="shared" si="4"/>
        <v>23028.214500000002</v>
      </c>
      <c r="P25" s="23">
        <v>40704</v>
      </c>
      <c r="R25" s="31"/>
    </row>
    <row r="26" spans="1:22">
      <c r="A26" s="23">
        <v>40127</v>
      </c>
      <c r="B26" s="98">
        <v>105703.7</v>
      </c>
      <c r="C26" s="25">
        <v>6318.24</v>
      </c>
      <c r="D26" s="25">
        <v>2641.23</v>
      </c>
      <c r="E26" s="26">
        <v>2547.6</v>
      </c>
      <c r="F26" s="25">
        <v>1384.34</v>
      </c>
      <c r="G26" s="27">
        <v>0</v>
      </c>
      <c r="H26" s="27">
        <v>0</v>
      </c>
      <c r="I26" s="50"/>
      <c r="J26" s="45"/>
      <c r="K26" s="45"/>
      <c r="O26" s="14">
        <f t="shared" si="4"/>
        <v>23028.214500000002</v>
      </c>
      <c r="P26" s="23">
        <v>40719</v>
      </c>
      <c r="R26" s="31"/>
    </row>
    <row r="27" spans="1:22" ht="15" customHeight="1">
      <c r="A27" s="23">
        <v>40142</v>
      </c>
      <c r="B27" s="98">
        <f>J5</f>
        <v>4407.4066666666668</v>
      </c>
      <c r="C27" s="25">
        <f t="shared" si="0"/>
        <v>330.55549999999999</v>
      </c>
      <c r="D27" s="25">
        <f t="shared" si="1"/>
        <v>110.18516666666667</v>
      </c>
      <c r="E27" s="26">
        <f t="shared" si="2"/>
        <v>330.55549999999999</v>
      </c>
      <c r="F27" s="25">
        <f t="shared" si="3"/>
        <v>110.18516666666667</v>
      </c>
      <c r="G27" s="27">
        <v>0</v>
      </c>
      <c r="H27" s="27">
        <v>0</v>
      </c>
      <c r="I27" s="56"/>
      <c r="J27" s="56"/>
      <c r="K27" s="56"/>
      <c r="O27" s="14">
        <f t="shared" si="4"/>
        <v>23028.214500000002</v>
      </c>
      <c r="P27" s="23">
        <v>40369</v>
      </c>
      <c r="R27" s="31"/>
    </row>
    <row r="28" spans="1:22">
      <c r="A28" s="23">
        <v>40157</v>
      </c>
      <c r="B28" s="98">
        <f>J5</f>
        <v>4407.4066666666668</v>
      </c>
      <c r="C28" s="25">
        <f t="shared" si="0"/>
        <v>330.55549999999999</v>
      </c>
      <c r="D28" s="25">
        <f t="shared" si="1"/>
        <v>110.18516666666667</v>
      </c>
      <c r="E28" s="26">
        <f t="shared" si="2"/>
        <v>330.55549999999999</v>
      </c>
      <c r="F28" s="25">
        <f t="shared" si="3"/>
        <v>110.18516666666667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23028.214500000002</v>
      </c>
      <c r="P28" s="23">
        <v>40384</v>
      </c>
      <c r="R28" s="89"/>
    </row>
    <row r="29" spans="1:22" ht="13.5" thickBot="1">
      <c r="A29" s="23">
        <v>39441</v>
      </c>
      <c r="B29" s="98">
        <f>J5</f>
        <v>4407.4066666666668</v>
      </c>
      <c r="C29" s="25">
        <f t="shared" si="0"/>
        <v>330.55549999999999</v>
      </c>
      <c r="D29" s="25">
        <f t="shared" si="1"/>
        <v>110.18516666666667</v>
      </c>
      <c r="E29" s="26">
        <f t="shared" si="2"/>
        <v>330.55549999999999</v>
      </c>
      <c r="F29" s="25">
        <f t="shared" si="3"/>
        <v>110.18516666666667</v>
      </c>
      <c r="G29" s="27">
        <v>0</v>
      </c>
      <c r="H29" s="27">
        <v>0</v>
      </c>
      <c r="I29" s="56"/>
      <c r="J29" s="56"/>
      <c r="K29" s="56"/>
      <c r="O29" s="14">
        <f t="shared" si="4"/>
        <v>23028.214500000002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118925.91999999998</v>
      </c>
      <c r="C30" s="59">
        <f t="shared" si="5"/>
        <v>7309.906500000001</v>
      </c>
      <c r="D30" s="94">
        <f t="shared" si="5"/>
        <v>2971.7855</v>
      </c>
      <c r="E30" s="94">
        <f t="shared" si="5"/>
        <v>3539.2664999999997</v>
      </c>
      <c r="F30" s="94">
        <f t="shared" si="5"/>
        <v>1714.8954999999999</v>
      </c>
      <c r="G30" s="59">
        <f t="shared" si="5"/>
        <v>0</v>
      </c>
      <c r="H30" s="59">
        <f t="shared" si="5"/>
        <v>0</v>
      </c>
      <c r="I30" s="44"/>
      <c r="J30" s="132"/>
      <c r="K30" s="44"/>
      <c r="O30" s="14">
        <f t="shared" si="4"/>
        <v>23028.214500000002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8919.4439999999977</v>
      </c>
      <c r="D31" s="160">
        <f>B30*0.025</f>
        <v>2973.1479999999997</v>
      </c>
      <c r="E31" s="64">
        <f>C31</f>
        <v>8919.4439999999977</v>
      </c>
      <c r="F31" s="64">
        <f>B30*0.025</f>
        <v>2973.1479999999997</v>
      </c>
      <c r="G31" s="65"/>
      <c r="H31" s="65"/>
      <c r="I31" s="44"/>
      <c r="J31" s="132"/>
      <c r="K31" s="44"/>
      <c r="O31" s="14">
        <f t="shared" si="4"/>
        <v>23028.214500000002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-1609.5374999999967</v>
      </c>
      <c r="D32" s="31">
        <f>D30-D31</f>
        <v>-1.3624999999997272</v>
      </c>
      <c r="E32" s="31">
        <f>E30-E31</f>
        <v>-5380.177499999998</v>
      </c>
      <c r="F32" s="31">
        <f>F30-F31</f>
        <v>-1258.2524999999998</v>
      </c>
      <c r="G32" s="45"/>
      <c r="H32" s="45"/>
      <c r="I32" s="57"/>
      <c r="J32" s="57"/>
      <c r="K32" s="57"/>
      <c r="O32" s="14">
        <f t="shared" si="4"/>
        <v>23028.214500000002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23028.214500000002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23028.214500000002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23028.214500000002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23028.214500000002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23028.214500000002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23028.214500000002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D1"/>
    <mergeCell ref="B2:D2"/>
  </mergeCells>
  <pageMargins left="0.45" right="0.4" top="1" bottom="0.72" header="0.5" footer="0.5"/>
  <pageSetup paperSize="14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22">
    <tabColor rgb="FFFF0000"/>
  </sheetPr>
  <dimension ref="A1:WVW48"/>
  <sheetViews>
    <sheetView zoomScaleNormal="100" workbookViewId="0">
      <selection activeCell="H35" sqref="H35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8" width="13" style="5" customWidth="1"/>
    <col min="9" max="9" width="15" style="5" customWidth="1"/>
    <col min="10" max="10" width="20.7109375" style="5" customWidth="1"/>
    <col min="11" max="11" width="14.7109375" style="5" customWidth="1"/>
    <col min="12" max="12" width="12.7109375" style="5" hidden="1" customWidth="1"/>
    <col min="13" max="14" width="17.7109375" style="5" hidden="1" customWidth="1"/>
    <col min="15" max="15" width="9.28515625" style="5" hidden="1" customWidth="1"/>
    <col min="16" max="19" width="11.28515625" style="5" customWidth="1"/>
    <col min="20" max="20" width="19.7109375" style="5" customWidth="1"/>
    <col min="21" max="259" width="9.140625" style="5"/>
    <col min="260" max="260" width="10.42578125" style="5" bestFit="1" customWidth="1"/>
    <col min="261" max="261" width="13.42578125" style="5" customWidth="1"/>
    <col min="262" max="262" width="12.42578125" style="5" customWidth="1"/>
    <col min="263" max="263" width="12.5703125" style="5" customWidth="1"/>
    <col min="264" max="266" width="13" style="5" customWidth="1"/>
    <col min="267" max="267" width="14.7109375" style="5" customWidth="1"/>
    <col min="268" max="271" width="9.28515625" style="5" hidden="1" customWidth="1"/>
    <col min="272" max="275" width="11.28515625" style="5" customWidth="1"/>
    <col min="276" max="276" width="19.7109375" style="5" customWidth="1"/>
    <col min="277" max="515" width="9.140625" style="5"/>
    <col min="516" max="516" width="10.42578125" style="5" bestFit="1" customWidth="1"/>
    <col min="517" max="517" width="13.42578125" style="5" customWidth="1"/>
    <col min="518" max="518" width="12.42578125" style="5" customWidth="1"/>
    <col min="519" max="519" width="12.5703125" style="5" customWidth="1"/>
    <col min="520" max="522" width="13" style="5" customWidth="1"/>
    <col min="523" max="523" width="14.7109375" style="5" customWidth="1"/>
    <col min="524" max="527" width="9.28515625" style="5" hidden="1" customWidth="1"/>
    <col min="528" max="531" width="11.28515625" style="5" customWidth="1"/>
    <col min="532" max="532" width="19.7109375" style="5" customWidth="1"/>
    <col min="533" max="771" width="9.140625" style="5"/>
    <col min="772" max="772" width="10.42578125" style="5" bestFit="1" customWidth="1"/>
    <col min="773" max="773" width="13.42578125" style="5" customWidth="1"/>
    <col min="774" max="774" width="12.42578125" style="5" customWidth="1"/>
    <col min="775" max="775" width="12.5703125" style="5" customWidth="1"/>
    <col min="776" max="778" width="13" style="5" customWidth="1"/>
    <col min="779" max="779" width="14.7109375" style="5" customWidth="1"/>
    <col min="780" max="783" width="9.28515625" style="5" hidden="1" customWidth="1"/>
    <col min="784" max="787" width="11.28515625" style="5" customWidth="1"/>
    <col min="788" max="788" width="19.7109375" style="5" customWidth="1"/>
    <col min="789" max="1027" width="9.140625" style="5"/>
    <col min="1028" max="1028" width="10.42578125" style="5" bestFit="1" customWidth="1"/>
    <col min="1029" max="1029" width="13.42578125" style="5" customWidth="1"/>
    <col min="1030" max="1030" width="12.42578125" style="5" customWidth="1"/>
    <col min="1031" max="1031" width="12.5703125" style="5" customWidth="1"/>
    <col min="1032" max="1034" width="13" style="5" customWidth="1"/>
    <col min="1035" max="1035" width="14.7109375" style="5" customWidth="1"/>
    <col min="1036" max="1039" width="9.28515625" style="5" hidden="1" customWidth="1"/>
    <col min="1040" max="1043" width="11.28515625" style="5" customWidth="1"/>
    <col min="1044" max="1044" width="19.7109375" style="5" customWidth="1"/>
    <col min="1045" max="1283" width="9.140625" style="5"/>
    <col min="1284" max="1284" width="10.42578125" style="5" bestFit="1" customWidth="1"/>
    <col min="1285" max="1285" width="13.42578125" style="5" customWidth="1"/>
    <col min="1286" max="1286" width="12.42578125" style="5" customWidth="1"/>
    <col min="1287" max="1287" width="12.5703125" style="5" customWidth="1"/>
    <col min="1288" max="1290" width="13" style="5" customWidth="1"/>
    <col min="1291" max="1291" width="14.7109375" style="5" customWidth="1"/>
    <col min="1292" max="1295" width="9.28515625" style="5" hidden="1" customWidth="1"/>
    <col min="1296" max="1299" width="11.28515625" style="5" customWidth="1"/>
    <col min="1300" max="1300" width="19.7109375" style="5" customWidth="1"/>
    <col min="1301" max="1539" width="9.140625" style="5"/>
    <col min="1540" max="1540" width="10.42578125" style="5" bestFit="1" customWidth="1"/>
    <col min="1541" max="1541" width="13.42578125" style="5" customWidth="1"/>
    <col min="1542" max="1542" width="12.42578125" style="5" customWidth="1"/>
    <col min="1543" max="1543" width="12.5703125" style="5" customWidth="1"/>
    <col min="1544" max="1546" width="13" style="5" customWidth="1"/>
    <col min="1547" max="1547" width="14.7109375" style="5" customWidth="1"/>
    <col min="1548" max="1551" width="9.28515625" style="5" hidden="1" customWidth="1"/>
    <col min="1552" max="1555" width="11.28515625" style="5" customWidth="1"/>
    <col min="1556" max="1556" width="19.7109375" style="5" customWidth="1"/>
    <col min="1557" max="1795" width="9.140625" style="5"/>
    <col min="1796" max="1796" width="10.42578125" style="5" bestFit="1" customWidth="1"/>
    <col min="1797" max="1797" width="13.42578125" style="5" customWidth="1"/>
    <col min="1798" max="1798" width="12.42578125" style="5" customWidth="1"/>
    <col min="1799" max="1799" width="12.5703125" style="5" customWidth="1"/>
    <col min="1800" max="1802" width="13" style="5" customWidth="1"/>
    <col min="1803" max="1803" width="14.7109375" style="5" customWidth="1"/>
    <col min="1804" max="1807" width="9.28515625" style="5" hidden="1" customWidth="1"/>
    <col min="1808" max="1811" width="11.28515625" style="5" customWidth="1"/>
    <col min="1812" max="1812" width="19.7109375" style="5" customWidth="1"/>
    <col min="1813" max="2051" width="9.140625" style="5"/>
    <col min="2052" max="2052" width="10.42578125" style="5" bestFit="1" customWidth="1"/>
    <col min="2053" max="2053" width="13.42578125" style="5" customWidth="1"/>
    <col min="2054" max="2054" width="12.42578125" style="5" customWidth="1"/>
    <col min="2055" max="2055" width="12.5703125" style="5" customWidth="1"/>
    <col min="2056" max="2058" width="13" style="5" customWidth="1"/>
    <col min="2059" max="2059" width="14.7109375" style="5" customWidth="1"/>
    <col min="2060" max="2063" width="9.28515625" style="5" hidden="1" customWidth="1"/>
    <col min="2064" max="2067" width="11.28515625" style="5" customWidth="1"/>
    <col min="2068" max="2068" width="19.7109375" style="5" customWidth="1"/>
    <col min="2069" max="2307" width="9.140625" style="5"/>
    <col min="2308" max="2308" width="10.42578125" style="5" bestFit="1" customWidth="1"/>
    <col min="2309" max="2309" width="13.42578125" style="5" customWidth="1"/>
    <col min="2310" max="2310" width="12.42578125" style="5" customWidth="1"/>
    <col min="2311" max="2311" width="12.5703125" style="5" customWidth="1"/>
    <col min="2312" max="2314" width="13" style="5" customWidth="1"/>
    <col min="2315" max="2315" width="14.7109375" style="5" customWidth="1"/>
    <col min="2316" max="2319" width="9.28515625" style="5" hidden="1" customWidth="1"/>
    <col min="2320" max="2323" width="11.28515625" style="5" customWidth="1"/>
    <col min="2324" max="2324" width="19.7109375" style="5" customWidth="1"/>
    <col min="2325" max="2563" width="9.140625" style="5"/>
    <col min="2564" max="2564" width="10.42578125" style="5" bestFit="1" customWidth="1"/>
    <col min="2565" max="2565" width="13.42578125" style="5" customWidth="1"/>
    <col min="2566" max="2566" width="12.42578125" style="5" customWidth="1"/>
    <col min="2567" max="2567" width="12.5703125" style="5" customWidth="1"/>
    <col min="2568" max="2570" width="13" style="5" customWidth="1"/>
    <col min="2571" max="2571" width="14.7109375" style="5" customWidth="1"/>
    <col min="2572" max="2575" width="9.28515625" style="5" hidden="1" customWidth="1"/>
    <col min="2576" max="2579" width="11.28515625" style="5" customWidth="1"/>
    <col min="2580" max="2580" width="19.7109375" style="5" customWidth="1"/>
    <col min="2581" max="2819" width="9.140625" style="5"/>
    <col min="2820" max="2820" width="10.42578125" style="5" bestFit="1" customWidth="1"/>
    <col min="2821" max="2821" width="13.42578125" style="5" customWidth="1"/>
    <col min="2822" max="2822" width="12.42578125" style="5" customWidth="1"/>
    <col min="2823" max="2823" width="12.5703125" style="5" customWidth="1"/>
    <col min="2824" max="2826" width="13" style="5" customWidth="1"/>
    <col min="2827" max="2827" width="14.7109375" style="5" customWidth="1"/>
    <col min="2828" max="2831" width="9.28515625" style="5" hidden="1" customWidth="1"/>
    <col min="2832" max="2835" width="11.28515625" style="5" customWidth="1"/>
    <col min="2836" max="2836" width="19.7109375" style="5" customWidth="1"/>
    <col min="2837" max="3075" width="9.140625" style="5"/>
    <col min="3076" max="3076" width="10.42578125" style="5" bestFit="1" customWidth="1"/>
    <col min="3077" max="3077" width="13.42578125" style="5" customWidth="1"/>
    <col min="3078" max="3078" width="12.42578125" style="5" customWidth="1"/>
    <col min="3079" max="3079" width="12.5703125" style="5" customWidth="1"/>
    <col min="3080" max="3082" width="13" style="5" customWidth="1"/>
    <col min="3083" max="3083" width="14.7109375" style="5" customWidth="1"/>
    <col min="3084" max="3087" width="9.28515625" style="5" hidden="1" customWidth="1"/>
    <col min="3088" max="3091" width="11.28515625" style="5" customWidth="1"/>
    <col min="3092" max="3092" width="19.7109375" style="5" customWidth="1"/>
    <col min="3093" max="3331" width="9.140625" style="5"/>
    <col min="3332" max="3332" width="10.42578125" style="5" bestFit="1" customWidth="1"/>
    <col min="3333" max="3333" width="13.42578125" style="5" customWidth="1"/>
    <col min="3334" max="3334" width="12.42578125" style="5" customWidth="1"/>
    <col min="3335" max="3335" width="12.5703125" style="5" customWidth="1"/>
    <col min="3336" max="3338" width="13" style="5" customWidth="1"/>
    <col min="3339" max="3339" width="14.7109375" style="5" customWidth="1"/>
    <col min="3340" max="3343" width="9.28515625" style="5" hidden="1" customWidth="1"/>
    <col min="3344" max="3347" width="11.28515625" style="5" customWidth="1"/>
    <col min="3348" max="3348" width="19.7109375" style="5" customWidth="1"/>
    <col min="3349" max="3587" width="9.140625" style="5"/>
    <col min="3588" max="3588" width="10.42578125" style="5" bestFit="1" customWidth="1"/>
    <col min="3589" max="3589" width="13.42578125" style="5" customWidth="1"/>
    <col min="3590" max="3590" width="12.42578125" style="5" customWidth="1"/>
    <col min="3591" max="3591" width="12.5703125" style="5" customWidth="1"/>
    <col min="3592" max="3594" width="13" style="5" customWidth="1"/>
    <col min="3595" max="3595" width="14.7109375" style="5" customWidth="1"/>
    <col min="3596" max="3599" width="9.28515625" style="5" hidden="1" customWidth="1"/>
    <col min="3600" max="3603" width="11.28515625" style="5" customWidth="1"/>
    <col min="3604" max="3604" width="19.7109375" style="5" customWidth="1"/>
    <col min="3605" max="3843" width="9.140625" style="5"/>
    <col min="3844" max="3844" width="10.42578125" style="5" bestFit="1" customWidth="1"/>
    <col min="3845" max="3845" width="13.42578125" style="5" customWidth="1"/>
    <col min="3846" max="3846" width="12.42578125" style="5" customWidth="1"/>
    <col min="3847" max="3847" width="12.5703125" style="5" customWidth="1"/>
    <col min="3848" max="3850" width="13" style="5" customWidth="1"/>
    <col min="3851" max="3851" width="14.7109375" style="5" customWidth="1"/>
    <col min="3852" max="3855" width="9.28515625" style="5" hidden="1" customWidth="1"/>
    <col min="3856" max="3859" width="11.28515625" style="5" customWidth="1"/>
    <col min="3860" max="3860" width="19.7109375" style="5" customWidth="1"/>
    <col min="3861" max="4099" width="9.140625" style="5"/>
    <col min="4100" max="4100" width="10.42578125" style="5" bestFit="1" customWidth="1"/>
    <col min="4101" max="4101" width="13.42578125" style="5" customWidth="1"/>
    <col min="4102" max="4102" width="12.42578125" style="5" customWidth="1"/>
    <col min="4103" max="4103" width="12.5703125" style="5" customWidth="1"/>
    <col min="4104" max="4106" width="13" style="5" customWidth="1"/>
    <col min="4107" max="4107" width="14.7109375" style="5" customWidth="1"/>
    <col min="4108" max="4111" width="9.28515625" style="5" hidden="1" customWidth="1"/>
    <col min="4112" max="4115" width="11.28515625" style="5" customWidth="1"/>
    <col min="4116" max="4116" width="19.7109375" style="5" customWidth="1"/>
    <col min="4117" max="4355" width="9.140625" style="5"/>
    <col min="4356" max="4356" width="10.42578125" style="5" bestFit="1" customWidth="1"/>
    <col min="4357" max="4357" width="13.42578125" style="5" customWidth="1"/>
    <col min="4358" max="4358" width="12.42578125" style="5" customWidth="1"/>
    <col min="4359" max="4359" width="12.5703125" style="5" customWidth="1"/>
    <col min="4360" max="4362" width="13" style="5" customWidth="1"/>
    <col min="4363" max="4363" width="14.7109375" style="5" customWidth="1"/>
    <col min="4364" max="4367" width="9.28515625" style="5" hidden="1" customWidth="1"/>
    <col min="4368" max="4371" width="11.28515625" style="5" customWidth="1"/>
    <col min="4372" max="4372" width="19.7109375" style="5" customWidth="1"/>
    <col min="4373" max="4611" width="9.140625" style="5"/>
    <col min="4612" max="4612" width="10.42578125" style="5" bestFit="1" customWidth="1"/>
    <col min="4613" max="4613" width="13.42578125" style="5" customWidth="1"/>
    <col min="4614" max="4614" width="12.42578125" style="5" customWidth="1"/>
    <col min="4615" max="4615" width="12.5703125" style="5" customWidth="1"/>
    <col min="4616" max="4618" width="13" style="5" customWidth="1"/>
    <col min="4619" max="4619" width="14.7109375" style="5" customWidth="1"/>
    <col min="4620" max="4623" width="9.28515625" style="5" hidden="1" customWidth="1"/>
    <col min="4624" max="4627" width="11.28515625" style="5" customWidth="1"/>
    <col min="4628" max="4628" width="19.7109375" style="5" customWidth="1"/>
    <col min="4629" max="4867" width="9.140625" style="5"/>
    <col min="4868" max="4868" width="10.42578125" style="5" bestFit="1" customWidth="1"/>
    <col min="4869" max="4869" width="13.42578125" style="5" customWidth="1"/>
    <col min="4870" max="4870" width="12.42578125" style="5" customWidth="1"/>
    <col min="4871" max="4871" width="12.5703125" style="5" customWidth="1"/>
    <col min="4872" max="4874" width="13" style="5" customWidth="1"/>
    <col min="4875" max="4875" width="14.7109375" style="5" customWidth="1"/>
    <col min="4876" max="4879" width="9.28515625" style="5" hidden="1" customWidth="1"/>
    <col min="4880" max="4883" width="11.28515625" style="5" customWidth="1"/>
    <col min="4884" max="4884" width="19.7109375" style="5" customWidth="1"/>
    <col min="4885" max="5123" width="9.140625" style="5"/>
    <col min="5124" max="5124" width="10.42578125" style="5" bestFit="1" customWidth="1"/>
    <col min="5125" max="5125" width="13.42578125" style="5" customWidth="1"/>
    <col min="5126" max="5126" width="12.42578125" style="5" customWidth="1"/>
    <col min="5127" max="5127" width="12.5703125" style="5" customWidth="1"/>
    <col min="5128" max="5130" width="13" style="5" customWidth="1"/>
    <col min="5131" max="5131" width="14.7109375" style="5" customWidth="1"/>
    <col min="5132" max="5135" width="9.28515625" style="5" hidden="1" customWidth="1"/>
    <col min="5136" max="5139" width="11.28515625" style="5" customWidth="1"/>
    <col min="5140" max="5140" width="19.7109375" style="5" customWidth="1"/>
    <col min="5141" max="5379" width="9.140625" style="5"/>
    <col min="5380" max="5380" width="10.42578125" style="5" bestFit="1" customWidth="1"/>
    <col min="5381" max="5381" width="13.42578125" style="5" customWidth="1"/>
    <col min="5382" max="5382" width="12.42578125" style="5" customWidth="1"/>
    <col min="5383" max="5383" width="12.5703125" style="5" customWidth="1"/>
    <col min="5384" max="5386" width="13" style="5" customWidth="1"/>
    <col min="5387" max="5387" width="14.7109375" style="5" customWidth="1"/>
    <col min="5388" max="5391" width="9.28515625" style="5" hidden="1" customWidth="1"/>
    <col min="5392" max="5395" width="11.28515625" style="5" customWidth="1"/>
    <col min="5396" max="5396" width="19.7109375" style="5" customWidth="1"/>
    <col min="5397" max="5635" width="9.140625" style="5"/>
    <col min="5636" max="5636" width="10.42578125" style="5" bestFit="1" customWidth="1"/>
    <col min="5637" max="5637" width="13.42578125" style="5" customWidth="1"/>
    <col min="5638" max="5638" width="12.42578125" style="5" customWidth="1"/>
    <col min="5639" max="5639" width="12.5703125" style="5" customWidth="1"/>
    <col min="5640" max="5642" width="13" style="5" customWidth="1"/>
    <col min="5643" max="5643" width="14.7109375" style="5" customWidth="1"/>
    <col min="5644" max="5647" width="9.28515625" style="5" hidden="1" customWidth="1"/>
    <col min="5648" max="5651" width="11.28515625" style="5" customWidth="1"/>
    <col min="5652" max="5652" width="19.7109375" style="5" customWidth="1"/>
    <col min="5653" max="5891" width="9.140625" style="5"/>
    <col min="5892" max="5892" width="10.42578125" style="5" bestFit="1" customWidth="1"/>
    <col min="5893" max="5893" width="13.42578125" style="5" customWidth="1"/>
    <col min="5894" max="5894" width="12.42578125" style="5" customWidth="1"/>
    <col min="5895" max="5895" width="12.5703125" style="5" customWidth="1"/>
    <col min="5896" max="5898" width="13" style="5" customWidth="1"/>
    <col min="5899" max="5899" width="14.7109375" style="5" customWidth="1"/>
    <col min="5900" max="5903" width="9.28515625" style="5" hidden="1" customWidth="1"/>
    <col min="5904" max="5907" width="11.28515625" style="5" customWidth="1"/>
    <col min="5908" max="5908" width="19.7109375" style="5" customWidth="1"/>
    <col min="5909" max="6147" width="9.140625" style="5"/>
    <col min="6148" max="6148" width="10.42578125" style="5" bestFit="1" customWidth="1"/>
    <col min="6149" max="6149" width="13.42578125" style="5" customWidth="1"/>
    <col min="6150" max="6150" width="12.42578125" style="5" customWidth="1"/>
    <col min="6151" max="6151" width="12.5703125" style="5" customWidth="1"/>
    <col min="6152" max="6154" width="13" style="5" customWidth="1"/>
    <col min="6155" max="6155" width="14.7109375" style="5" customWidth="1"/>
    <col min="6156" max="6159" width="9.28515625" style="5" hidden="1" customWidth="1"/>
    <col min="6160" max="6163" width="11.28515625" style="5" customWidth="1"/>
    <col min="6164" max="6164" width="19.7109375" style="5" customWidth="1"/>
    <col min="6165" max="6403" width="9.140625" style="5"/>
    <col min="6404" max="6404" width="10.42578125" style="5" bestFit="1" customWidth="1"/>
    <col min="6405" max="6405" width="13.42578125" style="5" customWidth="1"/>
    <col min="6406" max="6406" width="12.42578125" style="5" customWidth="1"/>
    <col min="6407" max="6407" width="12.5703125" style="5" customWidth="1"/>
    <col min="6408" max="6410" width="13" style="5" customWidth="1"/>
    <col min="6411" max="6411" width="14.7109375" style="5" customWidth="1"/>
    <col min="6412" max="6415" width="9.28515625" style="5" hidden="1" customWidth="1"/>
    <col min="6416" max="6419" width="11.28515625" style="5" customWidth="1"/>
    <col min="6420" max="6420" width="19.7109375" style="5" customWidth="1"/>
    <col min="6421" max="6659" width="9.140625" style="5"/>
    <col min="6660" max="6660" width="10.42578125" style="5" bestFit="1" customWidth="1"/>
    <col min="6661" max="6661" width="13.42578125" style="5" customWidth="1"/>
    <col min="6662" max="6662" width="12.42578125" style="5" customWidth="1"/>
    <col min="6663" max="6663" width="12.5703125" style="5" customWidth="1"/>
    <col min="6664" max="6666" width="13" style="5" customWidth="1"/>
    <col min="6667" max="6667" width="14.7109375" style="5" customWidth="1"/>
    <col min="6668" max="6671" width="9.28515625" style="5" hidden="1" customWidth="1"/>
    <col min="6672" max="6675" width="11.28515625" style="5" customWidth="1"/>
    <col min="6676" max="6676" width="19.7109375" style="5" customWidth="1"/>
    <col min="6677" max="6915" width="9.140625" style="5"/>
    <col min="6916" max="6916" width="10.42578125" style="5" bestFit="1" customWidth="1"/>
    <col min="6917" max="6917" width="13.42578125" style="5" customWidth="1"/>
    <col min="6918" max="6918" width="12.42578125" style="5" customWidth="1"/>
    <col min="6919" max="6919" width="12.5703125" style="5" customWidth="1"/>
    <col min="6920" max="6922" width="13" style="5" customWidth="1"/>
    <col min="6923" max="6923" width="14.7109375" style="5" customWidth="1"/>
    <col min="6924" max="6927" width="9.28515625" style="5" hidden="1" customWidth="1"/>
    <col min="6928" max="6931" width="11.28515625" style="5" customWidth="1"/>
    <col min="6932" max="6932" width="19.7109375" style="5" customWidth="1"/>
    <col min="6933" max="7171" width="9.140625" style="5"/>
    <col min="7172" max="7172" width="10.42578125" style="5" bestFit="1" customWidth="1"/>
    <col min="7173" max="7173" width="13.42578125" style="5" customWidth="1"/>
    <col min="7174" max="7174" width="12.42578125" style="5" customWidth="1"/>
    <col min="7175" max="7175" width="12.5703125" style="5" customWidth="1"/>
    <col min="7176" max="7178" width="13" style="5" customWidth="1"/>
    <col min="7179" max="7179" width="14.7109375" style="5" customWidth="1"/>
    <col min="7180" max="7183" width="9.28515625" style="5" hidden="1" customWidth="1"/>
    <col min="7184" max="7187" width="11.28515625" style="5" customWidth="1"/>
    <col min="7188" max="7188" width="19.7109375" style="5" customWidth="1"/>
    <col min="7189" max="7427" width="9.140625" style="5"/>
    <col min="7428" max="7428" width="10.42578125" style="5" bestFit="1" customWidth="1"/>
    <col min="7429" max="7429" width="13.42578125" style="5" customWidth="1"/>
    <col min="7430" max="7430" width="12.42578125" style="5" customWidth="1"/>
    <col min="7431" max="7431" width="12.5703125" style="5" customWidth="1"/>
    <col min="7432" max="7434" width="13" style="5" customWidth="1"/>
    <col min="7435" max="7435" width="14.7109375" style="5" customWidth="1"/>
    <col min="7436" max="7439" width="9.28515625" style="5" hidden="1" customWidth="1"/>
    <col min="7440" max="7443" width="11.28515625" style="5" customWidth="1"/>
    <col min="7444" max="7444" width="19.7109375" style="5" customWidth="1"/>
    <col min="7445" max="7683" width="9.140625" style="5"/>
    <col min="7684" max="7684" width="10.42578125" style="5" bestFit="1" customWidth="1"/>
    <col min="7685" max="7685" width="13.42578125" style="5" customWidth="1"/>
    <col min="7686" max="7686" width="12.42578125" style="5" customWidth="1"/>
    <col min="7687" max="7687" width="12.5703125" style="5" customWidth="1"/>
    <col min="7688" max="7690" width="13" style="5" customWidth="1"/>
    <col min="7691" max="7691" width="14.7109375" style="5" customWidth="1"/>
    <col min="7692" max="7695" width="9.28515625" style="5" hidden="1" customWidth="1"/>
    <col min="7696" max="7699" width="11.28515625" style="5" customWidth="1"/>
    <col min="7700" max="7700" width="19.7109375" style="5" customWidth="1"/>
    <col min="7701" max="7939" width="9.140625" style="5"/>
    <col min="7940" max="7940" width="10.42578125" style="5" bestFit="1" customWidth="1"/>
    <col min="7941" max="7941" width="13.42578125" style="5" customWidth="1"/>
    <col min="7942" max="7942" width="12.42578125" style="5" customWidth="1"/>
    <col min="7943" max="7943" width="12.5703125" style="5" customWidth="1"/>
    <col min="7944" max="7946" width="13" style="5" customWidth="1"/>
    <col min="7947" max="7947" width="14.7109375" style="5" customWidth="1"/>
    <col min="7948" max="7951" width="9.28515625" style="5" hidden="1" customWidth="1"/>
    <col min="7952" max="7955" width="11.28515625" style="5" customWidth="1"/>
    <col min="7956" max="7956" width="19.7109375" style="5" customWidth="1"/>
    <col min="7957" max="8195" width="9.140625" style="5"/>
    <col min="8196" max="8196" width="10.42578125" style="5" bestFit="1" customWidth="1"/>
    <col min="8197" max="8197" width="13.42578125" style="5" customWidth="1"/>
    <col min="8198" max="8198" width="12.42578125" style="5" customWidth="1"/>
    <col min="8199" max="8199" width="12.5703125" style="5" customWidth="1"/>
    <col min="8200" max="8202" width="13" style="5" customWidth="1"/>
    <col min="8203" max="8203" width="14.7109375" style="5" customWidth="1"/>
    <col min="8204" max="8207" width="9.28515625" style="5" hidden="1" customWidth="1"/>
    <col min="8208" max="8211" width="11.28515625" style="5" customWidth="1"/>
    <col min="8212" max="8212" width="19.7109375" style="5" customWidth="1"/>
    <col min="8213" max="8451" width="9.140625" style="5"/>
    <col min="8452" max="8452" width="10.42578125" style="5" bestFit="1" customWidth="1"/>
    <col min="8453" max="8453" width="13.42578125" style="5" customWidth="1"/>
    <col min="8454" max="8454" width="12.42578125" style="5" customWidth="1"/>
    <col min="8455" max="8455" width="12.5703125" style="5" customWidth="1"/>
    <col min="8456" max="8458" width="13" style="5" customWidth="1"/>
    <col min="8459" max="8459" width="14.7109375" style="5" customWidth="1"/>
    <col min="8460" max="8463" width="9.28515625" style="5" hidden="1" customWidth="1"/>
    <col min="8464" max="8467" width="11.28515625" style="5" customWidth="1"/>
    <col min="8468" max="8468" width="19.7109375" style="5" customWidth="1"/>
    <col min="8469" max="8707" width="9.140625" style="5"/>
    <col min="8708" max="8708" width="10.42578125" style="5" bestFit="1" customWidth="1"/>
    <col min="8709" max="8709" width="13.42578125" style="5" customWidth="1"/>
    <col min="8710" max="8710" width="12.42578125" style="5" customWidth="1"/>
    <col min="8711" max="8711" width="12.5703125" style="5" customWidth="1"/>
    <col min="8712" max="8714" width="13" style="5" customWidth="1"/>
    <col min="8715" max="8715" width="14.7109375" style="5" customWidth="1"/>
    <col min="8716" max="8719" width="9.28515625" style="5" hidden="1" customWidth="1"/>
    <col min="8720" max="8723" width="11.28515625" style="5" customWidth="1"/>
    <col min="8724" max="8724" width="19.7109375" style="5" customWidth="1"/>
    <col min="8725" max="8963" width="9.140625" style="5"/>
    <col min="8964" max="8964" width="10.42578125" style="5" bestFit="1" customWidth="1"/>
    <col min="8965" max="8965" width="13.42578125" style="5" customWidth="1"/>
    <col min="8966" max="8966" width="12.42578125" style="5" customWidth="1"/>
    <col min="8967" max="8967" width="12.5703125" style="5" customWidth="1"/>
    <col min="8968" max="8970" width="13" style="5" customWidth="1"/>
    <col min="8971" max="8971" width="14.7109375" style="5" customWidth="1"/>
    <col min="8972" max="8975" width="9.28515625" style="5" hidden="1" customWidth="1"/>
    <col min="8976" max="8979" width="11.28515625" style="5" customWidth="1"/>
    <col min="8980" max="8980" width="19.7109375" style="5" customWidth="1"/>
    <col min="8981" max="9219" width="9.140625" style="5"/>
    <col min="9220" max="9220" width="10.42578125" style="5" bestFit="1" customWidth="1"/>
    <col min="9221" max="9221" width="13.42578125" style="5" customWidth="1"/>
    <col min="9222" max="9222" width="12.42578125" style="5" customWidth="1"/>
    <col min="9223" max="9223" width="12.5703125" style="5" customWidth="1"/>
    <col min="9224" max="9226" width="13" style="5" customWidth="1"/>
    <col min="9227" max="9227" width="14.7109375" style="5" customWidth="1"/>
    <col min="9228" max="9231" width="9.28515625" style="5" hidden="1" customWidth="1"/>
    <col min="9232" max="9235" width="11.28515625" style="5" customWidth="1"/>
    <col min="9236" max="9236" width="19.7109375" style="5" customWidth="1"/>
    <col min="9237" max="9475" width="9.140625" style="5"/>
    <col min="9476" max="9476" width="10.42578125" style="5" bestFit="1" customWidth="1"/>
    <col min="9477" max="9477" width="13.42578125" style="5" customWidth="1"/>
    <col min="9478" max="9478" width="12.42578125" style="5" customWidth="1"/>
    <col min="9479" max="9479" width="12.5703125" style="5" customWidth="1"/>
    <col min="9480" max="9482" width="13" style="5" customWidth="1"/>
    <col min="9483" max="9483" width="14.7109375" style="5" customWidth="1"/>
    <col min="9484" max="9487" width="9.28515625" style="5" hidden="1" customWidth="1"/>
    <col min="9488" max="9491" width="11.28515625" style="5" customWidth="1"/>
    <col min="9492" max="9492" width="19.7109375" style="5" customWidth="1"/>
    <col min="9493" max="9731" width="9.140625" style="5"/>
    <col min="9732" max="9732" width="10.42578125" style="5" bestFit="1" customWidth="1"/>
    <col min="9733" max="9733" width="13.42578125" style="5" customWidth="1"/>
    <col min="9734" max="9734" width="12.42578125" style="5" customWidth="1"/>
    <col min="9735" max="9735" width="12.5703125" style="5" customWidth="1"/>
    <col min="9736" max="9738" width="13" style="5" customWidth="1"/>
    <col min="9739" max="9739" width="14.7109375" style="5" customWidth="1"/>
    <col min="9740" max="9743" width="9.28515625" style="5" hidden="1" customWidth="1"/>
    <col min="9744" max="9747" width="11.28515625" style="5" customWidth="1"/>
    <col min="9748" max="9748" width="19.7109375" style="5" customWidth="1"/>
    <col min="9749" max="9987" width="9.140625" style="5"/>
    <col min="9988" max="9988" width="10.42578125" style="5" bestFit="1" customWidth="1"/>
    <col min="9989" max="9989" width="13.42578125" style="5" customWidth="1"/>
    <col min="9990" max="9990" width="12.42578125" style="5" customWidth="1"/>
    <col min="9991" max="9991" width="12.5703125" style="5" customWidth="1"/>
    <col min="9992" max="9994" width="13" style="5" customWidth="1"/>
    <col min="9995" max="9995" width="14.7109375" style="5" customWidth="1"/>
    <col min="9996" max="9999" width="9.28515625" style="5" hidden="1" customWidth="1"/>
    <col min="10000" max="10003" width="11.28515625" style="5" customWidth="1"/>
    <col min="10004" max="10004" width="19.7109375" style="5" customWidth="1"/>
    <col min="10005" max="10243" width="9.140625" style="5"/>
    <col min="10244" max="10244" width="10.42578125" style="5" bestFit="1" customWidth="1"/>
    <col min="10245" max="10245" width="13.42578125" style="5" customWidth="1"/>
    <col min="10246" max="10246" width="12.42578125" style="5" customWidth="1"/>
    <col min="10247" max="10247" width="12.5703125" style="5" customWidth="1"/>
    <col min="10248" max="10250" width="13" style="5" customWidth="1"/>
    <col min="10251" max="10251" width="14.7109375" style="5" customWidth="1"/>
    <col min="10252" max="10255" width="9.28515625" style="5" hidden="1" customWidth="1"/>
    <col min="10256" max="10259" width="11.28515625" style="5" customWidth="1"/>
    <col min="10260" max="10260" width="19.7109375" style="5" customWidth="1"/>
    <col min="10261" max="10499" width="9.140625" style="5"/>
    <col min="10500" max="10500" width="10.42578125" style="5" bestFit="1" customWidth="1"/>
    <col min="10501" max="10501" width="13.42578125" style="5" customWidth="1"/>
    <col min="10502" max="10502" width="12.42578125" style="5" customWidth="1"/>
    <col min="10503" max="10503" width="12.5703125" style="5" customWidth="1"/>
    <col min="10504" max="10506" width="13" style="5" customWidth="1"/>
    <col min="10507" max="10507" width="14.7109375" style="5" customWidth="1"/>
    <col min="10508" max="10511" width="9.28515625" style="5" hidden="1" customWidth="1"/>
    <col min="10512" max="10515" width="11.28515625" style="5" customWidth="1"/>
    <col min="10516" max="10516" width="19.7109375" style="5" customWidth="1"/>
    <col min="10517" max="10755" width="9.140625" style="5"/>
    <col min="10756" max="10756" width="10.42578125" style="5" bestFit="1" customWidth="1"/>
    <col min="10757" max="10757" width="13.42578125" style="5" customWidth="1"/>
    <col min="10758" max="10758" width="12.42578125" style="5" customWidth="1"/>
    <col min="10759" max="10759" width="12.5703125" style="5" customWidth="1"/>
    <col min="10760" max="10762" width="13" style="5" customWidth="1"/>
    <col min="10763" max="10763" width="14.7109375" style="5" customWidth="1"/>
    <col min="10764" max="10767" width="9.28515625" style="5" hidden="1" customWidth="1"/>
    <col min="10768" max="10771" width="11.28515625" style="5" customWidth="1"/>
    <col min="10772" max="10772" width="19.7109375" style="5" customWidth="1"/>
    <col min="10773" max="11011" width="9.140625" style="5"/>
    <col min="11012" max="11012" width="10.42578125" style="5" bestFit="1" customWidth="1"/>
    <col min="11013" max="11013" width="13.42578125" style="5" customWidth="1"/>
    <col min="11014" max="11014" width="12.42578125" style="5" customWidth="1"/>
    <col min="11015" max="11015" width="12.5703125" style="5" customWidth="1"/>
    <col min="11016" max="11018" width="13" style="5" customWidth="1"/>
    <col min="11019" max="11019" width="14.7109375" style="5" customWidth="1"/>
    <col min="11020" max="11023" width="9.28515625" style="5" hidden="1" customWidth="1"/>
    <col min="11024" max="11027" width="11.28515625" style="5" customWidth="1"/>
    <col min="11028" max="11028" width="19.7109375" style="5" customWidth="1"/>
    <col min="11029" max="11267" width="9.140625" style="5"/>
    <col min="11268" max="11268" width="10.42578125" style="5" bestFit="1" customWidth="1"/>
    <col min="11269" max="11269" width="13.42578125" style="5" customWidth="1"/>
    <col min="11270" max="11270" width="12.42578125" style="5" customWidth="1"/>
    <col min="11271" max="11271" width="12.5703125" style="5" customWidth="1"/>
    <col min="11272" max="11274" width="13" style="5" customWidth="1"/>
    <col min="11275" max="11275" width="14.7109375" style="5" customWidth="1"/>
    <col min="11276" max="11279" width="9.28515625" style="5" hidden="1" customWidth="1"/>
    <col min="11280" max="11283" width="11.28515625" style="5" customWidth="1"/>
    <col min="11284" max="11284" width="19.7109375" style="5" customWidth="1"/>
    <col min="11285" max="11523" width="9.140625" style="5"/>
    <col min="11524" max="11524" width="10.42578125" style="5" bestFit="1" customWidth="1"/>
    <col min="11525" max="11525" width="13.42578125" style="5" customWidth="1"/>
    <col min="11526" max="11526" width="12.42578125" style="5" customWidth="1"/>
    <col min="11527" max="11527" width="12.5703125" style="5" customWidth="1"/>
    <col min="11528" max="11530" width="13" style="5" customWidth="1"/>
    <col min="11531" max="11531" width="14.7109375" style="5" customWidth="1"/>
    <col min="11532" max="11535" width="9.28515625" style="5" hidden="1" customWidth="1"/>
    <col min="11536" max="11539" width="11.28515625" style="5" customWidth="1"/>
    <col min="11540" max="11540" width="19.7109375" style="5" customWidth="1"/>
    <col min="11541" max="11779" width="9.140625" style="5"/>
    <col min="11780" max="11780" width="10.42578125" style="5" bestFit="1" customWidth="1"/>
    <col min="11781" max="11781" width="13.42578125" style="5" customWidth="1"/>
    <col min="11782" max="11782" width="12.42578125" style="5" customWidth="1"/>
    <col min="11783" max="11783" width="12.5703125" style="5" customWidth="1"/>
    <col min="11784" max="11786" width="13" style="5" customWidth="1"/>
    <col min="11787" max="11787" width="14.7109375" style="5" customWidth="1"/>
    <col min="11788" max="11791" width="9.28515625" style="5" hidden="1" customWidth="1"/>
    <col min="11792" max="11795" width="11.28515625" style="5" customWidth="1"/>
    <col min="11796" max="11796" width="19.7109375" style="5" customWidth="1"/>
    <col min="11797" max="12035" width="9.140625" style="5"/>
    <col min="12036" max="12036" width="10.42578125" style="5" bestFit="1" customWidth="1"/>
    <col min="12037" max="12037" width="13.42578125" style="5" customWidth="1"/>
    <col min="12038" max="12038" width="12.42578125" style="5" customWidth="1"/>
    <col min="12039" max="12039" width="12.5703125" style="5" customWidth="1"/>
    <col min="12040" max="12042" width="13" style="5" customWidth="1"/>
    <col min="12043" max="12043" width="14.7109375" style="5" customWidth="1"/>
    <col min="12044" max="12047" width="9.28515625" style="5" hidden="1" customWidth="1"/>
    <col min="12048" max="12051" width="11.28515625" style="5" customWidth="1"/>
    <col min="12052" max="12052" width="19.7109375" style="5" customWidth="1"/>
    <col min="12053" max="12291" width="9.140625" style="5"/>
    <col min="12292" max="12292" width="10.42578125" style="5" bestFit="1" customWidth="1"/>
    <col min="12293" max="12293" width="13.42578125" style="5" customWidth="1"/>
    <col min="12294" max="12294" width="12.42578125" style="5" customWidth="1"/>
    <col min="12295" max="12295" width="12.5703125" style="5" customWidth="1"/>
    <col min="12296" max="12298" width="13" style="5" customWidth="1"/>
    <col min="12299" max="12299" width="14.7109375" style="5" customWidth="1"/>
    <col min="12300" max="12303" width="9.28515625" style="5" hidden="1" customWidth="1"/>
    <col min="12304" max="12307" width="11.28515625" style="5" customWidth="1"/>
    <col min="12308" max="12308" width="19.7109375" style="5" customWidth="1"/>
    <col min="12309" max="12547" width="9.140625" style="5"/>
    <col min="12548" max="12548" width="10.42578125" style="5" bestFit="1" customWidth="1"/>
    <col min="12549" max="12549" width="13.42578125" style="5" customWidth="1"/>
    <col min="12550" max="12550" width="12.42578125" style="5" customWidth="1"/>
    <col min="12551" max="12551" width="12.5703125" style="5" customWidth="1"/>
    <col min="12552" max="12554" width="13" style="5" customWidth="1"/>
    <col min="12555" max="12555" width="14.7109375" style="5" customWidth="1"/>
    <col min="12556" max="12559" width="9.28515625" style="5" hidden="1" customWidth="1"/>
    <col min="12560" max="12563" width="11.28515625" style="5" customWidth="1"/>
    <col min="12564" max="12564" width="19.7109375" style="5" customWidth="1"/>
    <col min="12565" max="12803" width="9.140625" style="5"/>
    <col min="12804" max="12804" width="10.42578125" style="5" bestFit="1" customWidth="1"/>
    <col min="12805" max="12805" width="13.42578125" style="5" customWidth="1"/>
    <col min="12806" max="12806" width="12.42578125" style="5" customWidth="1"/>
    <col min="12807" max="12807" width="12.5703125" style="5" customWidth="1"/>
    <col min="12808" max="12810" width="13" style="5" customWidth="1"/>
    <col min="12811" max="12811" width="14.7109375" style="5" customWidth="1"/>
    <col min="12812" max="12815" width="9.28515625" style="5" hidden="1" customWidth="1"/>
    <col min="12816" max="12819" width="11.28515625" style="5" customWidth="1"/>
    <col min="12820" max="12820" width="19.7109375" style="5" customWidth="1"/>
    <col min="12821" max="13059" width="9.140625" style="5"/>
    <col min="13060" max="13060" width="10.42578125" style="5" bestFit="1" customWidth="1"/>
    <col min="13061" max="13061" width="13.42578125" style="5" customWidth="1"/>
    <col min="13062" max="13062" width="12.42578125" style="5" customWidth="1"/>
    <col min="13063" max="13063" width="12.5703125" style="5" customWidth="1"/>
    <col min="13064" max="13066" width="13" style="5" customWidth="1"/>
    <col min="13067" max="13067" width="14.7109375" style="5" customWidth="1"/>
    <col min="13068" max="13071" width="9.28515625" style="5" hidden="1" customWidth="1"/>
    <col min="13072" max="13075" width="11.28515625" style="5" customWidth="1"/>
    <col min="13076" max="13076" width="19.7109375" style="5" customWidth="1"/>
    <col min="13077" max="13315" width="9.140625" style="5"/>
    <col min="13316" max="13316" width="10.42578125" style="5" bestFit="1" customWidth="1"/>
    <col min="13317" max="13317" width="13.42578125" style="5" customWidth="1"/>
    <col min="13318" max="13318" width="12.42578125" style="5" customWidth="1"/>
    <col min="13319" max="13319" width="12.5703125" style="5" customWidth="1"/>
    <col min="13320" max="13322" width="13" style="5" customWidth="1"/>
    <col min="13323" max="13323" width="14.7109375" style="5" customWidth="1"/>
    <col min="13324" max="13327" width="9.28515625" style="5" hidden="1" customWidth="1"/>
    <col min="13328" max="13331" width="11.28515625" style="5" customWidth="1"/>
    <col min="13332" max="13332" width="19.7109375" style="5" customWidth="1"/>
    <col min="13333" max="13571" width="9.140625" style="5"/>
    <col min="13572" max="13572" width="10.42578125" style="5" bestFit="1" customWidth="1"/>
    <col min="13573" max="13573" width="13.42578125" style="5" customWidth="1"/>
    <col min="13574" max="13574" width="12.42578125" style="5" customWidth="1"/>
    <col min="13575" max="13575" width="12.5703125" style="5" customWidth="1"/>
    <col min="13576" max="13578" width="13" style="5" customWidth="1"/>
    <col min="13579" max="13579" width="14.7109375" style="5" customWidth="1"/>
    <col min="13580" max="13583" width="9.28515625" style="5" hidden="1" customWidth="1"/>
    <col min="13584" max="13587" width="11.28515625" style="5" customWidth="1"/>
    <col min="13588" max="13588" width="19.7109375" style="5" customWidth="1"/>
    <col min="13589" max="13827" width="9.140625" style="5"/>
    <col min="13828" max="13828" width="10.42578125" style="5" bestFit="1" customWidth="1"/>
    <col min="13829" max="13829" width="13.42578125" style="5" customWidth="1"/>
    <col min="13830" max="13830" width="12.42578125" style="5" customWidth="1"/>
    <col min="13831" max="13831" width="12.5703125" style="5" customWidth="1"/>
    <col min="13832" max="13834" width="13" style="5" customWidth="1"/>
    <col min="13835" max="13835" width="14.7109375" style="5" customWidth="1"/>
    <col min="13836" max="13839" width="9.28515625" style="5" hidden="1" customWidth="1"/>
    <col min="13840" max="13843" width="11.28515625" style="5" customWidth="1"/>
    <col min="13844" max="13844" width="19.7109375" style="5" customWidth="1"/>
    <col min="13845" max="14083" width="9.140625" style="5"/>
    <col min="14084" max="14084" width="10.42578125" style="5" bestFit="1" customWidth="1"/>
    <col min="14085" max="14085" width="13.42578125" style="5" customWidth="1"/>
    <col min="14086" max="14086" width="12.42578125" style="5" customWidth="1"/>
    <col min="14087" max="14087" width="12.5703125" style="5" customWidth="1"/>
    <col min="14088" max="14090" width="13" style="5" customWidth="1"/>
    <col min="14091" max="14091" width="14.7109375" style="5" customWidth="1"/>
    <col min="14092" max="14095" width="9.28515625" style="5" hidden="1" customWidth="1"/>
    <col min="14096" max="14099" width="11.28515625" style="5" customWidth="1"/>
    <col min="14100" max="14100" width="19.7109375" style="5" customWidth="1"/>
    <col min="14101" max="14339" width="9.140625" style="5"/>
    <col min="14340" max="14340" width="10.42578125" style="5" bestFit="1" customWidth="1"/>
    <col min="14341" max="14341" width="13.42578125" style="5" customWidth="1"/>
    <col min="14342" max="14342" width="12.42578125" style="5" customWidth="1"/>
    <col min="14343" max="14343" width="12.5703125" style="5" customWidth="1"/>
    <col min="14344" max="14346" width="13" style="5" customWidth="1"/>
    <col min="14347" max="14347" width="14.7109375" style="5" customWidth="1"/>
    <col min="14348" max="14351" width="9.28515625" style="5" hidden="1" customWidth="1"/>
    <col min="14352" max="14355" width="11.28515625" style="5" customWidth="1"/>
    <col min="14356" max="14356" width="19.7109375" style="5" customWidth="1"/>
    <col min="14357" max="14595" width="9.140625" style="5"/>
    <col min="14596" max="14596" width="10.42578125" style="5" bestFit="1" customWidth="1"/>
    <col min="14597" max="14597" width="13.42578125" style="5" customWidth="1"/>
    <col min="14598" max="14598" width="12.42578125" style="5" customWidth="1"/>
    <col min="14599" max="14599" width="12.5703125" style="5" customWidth="1"/>
    <col min="14600" max="14602" width="13" style="5" customWidth="1"/>
    <col min="14603" max="14603" width="14.7109375" style="5" customWidth="1"/>
    <col min="14604" max="14607" width="9.28515625" style="5" hidden="1" customWidth="1"/>
    <col min="14608" max="14611" width="11.28515625" style="5" customWidth="1"/>
    <col min="14612" max="14612" width="19.7109375" style="5" customWidth="1"/>
    <col min="14613" max="14851" width="9.140625" style="5"/>
    <col min="14852" max="14852" width="10.42578125" style="5" bestFit="1" customWidth="1"/>
    <col min="14853" max="14853" width="13.42578125" style="5" customWidth="1"/>
    <col min="14854" max="14854" width="12.42578125" style="5" customWidth="1"/>
    <col min="14855" max="14855" width="12.5703125" style="5" customWidth="1"/>
    <col min="14856" max="14858" width="13" style="5" customWidth="1"/>
    <col min="14859" max="14859" width="14.7109375" style="5" customWidth="1"/>
    <col min="14860" max="14863" width="9.28515625" style="5" hidden="1" customWidth="1"/>
    <col min="14864" max="14867" width="11.28515625" style="5" customWidth="1"/>
    <col min="14868" max="14868" width="19.7109375" style="5" customWidth="1"/>
    <col min="14869" max="15107" width="9.140625" style="5"/>
    <col min="15108" max="15108" width="10.42578125" style="5" bestFit="1" customWidth="1"/>
    <col min="15109" max="15109" width="13.42578125" style="5" customWidth="1"/>
    <col min="15110" max="15110" width="12.42578125" style="5" customWidth="1"/>
    <col min="15111" max="15111" width="12.5703125" style="5" customWidth="1"/>
    <col min="15112" max="15114" width="13" style="5" customWidth="1"/>
    <col min="15115" max="15115" width="14.7109375" style="5" customWidth="1"/>
    <col min="15116" max="15119" width="9.28515625" style="5" hidden="1" customWidth="1"/>
    <col min="15120" max="15123" width="11.28515625" style="5" customWidth="1"/>
    <col min="15124" max="15124" width="19.7109375" style="5" customWidth="1"/>
    <col min="15125" max="15363" width="9.140625" style="5"/>
    <col min="15364" max="15364" width="10.42578125" style="5" bestFit="1" customWidth="1"/>
    <col min="15365" max="15365" width="13.42578125" style="5" customWidth="1"/>
    <col min="15366" max="15366" width="12.42578125" style="5" customWidth="1"/>
    <col min="15367" max="15367" width="12.5703125" style="5" customWidth="1"/>
    <col min="15368" max="15370" width="13" style="5" customWidth="1"/>
    <col min="15371" max="15371" width="14.7109375" style="5" customWidth="1"/>
    <col min="15372" max="15375" width="9.28515625" style="5" hidden="1" customWidth="1"/>
    <col min="15376" max="15379" width="11.28515625" style="5" customWidth="1"/>
    <col min="15380" max="15380" width="19.7109375" style="5" customWidth="1"/>
    <col min="15381" max="15619" width="9.140625" style="5"/>
    <col min="15620" max="15620" width="10.42578125" style="5" bestFit="1" customWidth="1"/>
    <col min="15621" max="15621" width="13.42578125" style="5" customWidth="1"/>
    <col min="15622" max="15622" width="12.42578125" style="5" customWidth="1"/>
    <col min="15623" max="15623" width="12.5703125" style="5" customWidth="1"/>
    <col min="15624" max="15626" width="13" style="5" customWidth="1"/>
    <col min="15627" max="15627" width="14.7109375" style="5" customWidth="1"/>
    <col min="15628" max="15631" width="9.28515625" style="5" hidden="1" customWidth="1"/>
    <col min="15632" max="15635" width="11.28515625" style="5" customWidth="1"/>
    <col min="15636" max="15636" width="19.7109375" style="5" customWidth="1"/>
    <col min="15637" max="15875" width="9.140625" style="5"/>
    <col min="15876" max="15876" width="10.42578125" style="5" bestFit="1" customWidth="1"/>
    <col min="15877" max="15877" width="13.42578125" style="5" customWidth="1"/>
    <col min="15878" max="15878" width="12.42578125" style="5" customWidth="1"/>
    <col min="15879" max="15879" width="12.5703125" style="5" customWidth="1"/>
    <col min="15880" max="15882" width="13" style="5" customWidth="1"/>
    <col min="15883" max="15883" width="14.7109375" style="5" customWidth="1"/>
    <col min="15884" max="15887" width="9.28515625" style="5" hidden="1" customWidth="1"/>
    <col min="15888" max="15891" width="11.28515625" style="5" customWidth="1"/>
    <col min="15892" max="15892" width="19.7109375" style="5" customWidth="1"/>
    <col min="15893" max="16131" width="9.140625" style="5"/>
    <col min="16132" max="16132" width="10.42578125" style="5" bestFit="1" customWidth="1"/>
    <col min="16133" max="16133" width="13.42578125" style="5" customWidth="1"/>
    <col min="16134" max="16134" width="12.42578125" style="5" customWidth="1"/>
    <col min="16135" max="16135" width="12.5703125" style="5" customWidth="1"/>
    <col min="16136" max="16138" width="13" style="5" customWidth="1"/>
    <col min="16139" max="16139" width="14.7109375" style="5" customWidth="1"/>
    <col min="16140" max="16143" width="9.28515625" style="5" hidden="1" customWidth="1"/>
    <col min="16144" max="16147" width="11.28515625" style="5" customWidth="1"/>
    <col min="16148" max="16148" width="19.7109375" style="5" customWidth="1"/>
    <col min="16149" max="16384" width="9.140625" style="5"/>
  </cols>
  <sheetData>
    <row r="1" spans="1:24" ht="13.5" thickBot="1">
      <c r="A1" s="1" t="s">
        <v>0</v>
      </c>
      <c r="B1" s="205" t="s">
        <v>50</v>
      </c>
      <c r="C1" s="205"/>
      <c r="D1" s="1" t="s">
        <v>1</v>
      </c>
      <c r="E1" s="2">
        <v>9</v>
      </c>
      <c r="F1" s="2"/>
      <c r="G1" s="2"/>
      <c r="H1" s="2"/>
      <c r="I1" s="3" t="s">
        <v>2</v>
      </c>
      <c r="J1" s="73">
        <v>32736</v>
      </c>
      <c r="M1" s="208" t="s">
        <v>3</v>
      </c>
      <c r="N1" s="208"/>
    </row>
    <row r="2" spans="1:24">
      <c r="A2" s="1" t="s">
        <v>4</v>
      </c>
      <c r="B2" s="206">
        <v>538156912</v>
      </c>
      <c r="C2" s="206"/>
      <c r="E2" s="6"/>
      <c r="F2" s="6"/>
      <c r="G2" s="6"/>
      <c r="H2" s="6"/>
      <c r="I2" s="3" t="s">
        <v>5</v>
      </c>
      <c r="J2" s="73">
        <v>20155</v>
      </c>
      <c r="L2" s="7">
        <v>2007</v>
      </c>
      <c r="M2" s="11">
        <v>2007</v>
      </c>
      <c r="N2" s="11">
        <v>2007</v>
      </c>
      <c r="P2" s="8">
        <v>58000</v>
      </c>
      <c r="Q2" s="9"/>
      <c r="R2" s="9"/>
      <c r="S2" s="8">
        <v>19500</v>
      </c>
      <c r="T2" s="10"/>
    </row>
    <row r="3" spans="1:24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125">
        <v>159475.04999999999</v>
      </c>
      <c r="K3" s="49"/>
      <c r="L3" s="12" t="s">
        <v>12</v>
      </c>
      <c r="M3" s="13" t="s">
        <v>13</v>
      </c>
      <c r="N3" s="13" t="s">
        <v>13</v>
      </c>
      <c r="P3" s="14">
        <f>-SUM(C30+D30+E30+F30)</f>
        <v>-38982.812499999985</v>
      </c>
      <c r="S3" s="14">
        <v>0</v>
      </c>
      <c r="T3" s="15" t="s">
        <v>14</v>
      </c>
      <c r="V3" s="16"/>
    </row>
    <row r="4" spans="1:24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75">
        <f>J3/E1</f>
        <v>17719.449999999997</v>
      </c>
      <c r="K4" s="49"/>
      <c r="L4" s="12" t="s">
        <v>16</v>
      </c>
      <c r="M4" s="13" t="s">
        <v>18</v>
      </c>
      <c r="N4" s="13" t="s">
        <v>19</v>
      </c>
      <c r="P4" s="19">
        <f>SUM(P2:P3)</f>
        <v>19017.187500000015</v>
      </c>
      <c r="Q4" s="20" t="s">
        <v>44</v>
      </c>
      <c r="R4" s="20"/>
      <c r="S4" s="14">
        <v>6500</v>
      </c>
      <c r="T4" s="15" t="s">
        <v>20</v>
      </c>
      <c r="V4" s="16"/>
    </row>
    <row r="5" spans="1:24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6">
        <f>J4/2</f>
        <v>8859.7249999999985</v>
      </c>
      <c r="K5" s="49"/>
      <c r="L5" s="22" t="s">
        <v>27</v>
      </c>
      <c r="M5" s="21" t="s">
        <v>28</v>
      </c>
      <c r="N5" s="21" t="s">
        <v>28</v>
      </c>
      <c r="S5" s="14">
        <f>-D30</f>
        <v>-4872.8493749999998</v>
      </c>
      <c r="T5" s="15" t="s">
        <v>29</v>
      </c>
      <c r="V5" s="16"/>
    </row>
    <row r="6" spans="1:24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29" t="e">
        <f>IF(#REF!/5&gt;$G$6,G6,(#REF!/5))</f>
        <v>#REF!</v>
      </c>
      <c r="M6" s="30" t="e">
        <f>#REF!/5</f>
        <v>#REF!</v>
      </c>
      <c r="N6" s="30" t="e">
        <f>#REF!/5 +G6</f>
        <v>#REF!</v>
      </c>
      <c r="P6" s="76" t="s">
        <v>116</v>
      </c>
      <c r="Q6" s="77"/>
      <c r="R6" s="77"/>
      <c r="S6" s="19">
        <f>SUM(S2:S5)</f>
        <v>21127.150625000002</v>
      </c>
      <c r="T6" s="32" t="s">
        <v>93</v>
      </c>
      <c r="V6" s="16"/>
    </row>
    <row r="7" spans="1:24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9" si="2">B7*0.075</f>
        <v>0</v>
      </c>
      <c r="F7" s="25">
        <f t="shared" ref="F7:F29" si="3">B7*0.025</f>
        <v>0</v>
      </c>
      <c r="G7" s="27">
        <v>0</v>
      </c>
      <c r="H7" s="27">
        <v>0</v>
      </c>
      <c r="J7" s="16"/>
      <c r="K7" s="28"/>
      <c r="L7" s="29" t="e">
        <f>IF(#REF!/5&gt;$G$6,#REF!,(#REF!/5))</f>
        <v>#REF!</v>
      </c>
      <c r="M7" s="30" t="e">
        <f>#REF!/5</f>
        <v>#REF!</v>
      </c>
      <c r="N7" s="30" t="e">
        <f>#REF!/5 +#REF!</f>
        <v>#REF!</v>
      </c>
      <c r="P7" s="76" t="s">
        <v>107</v>
      </c>
      <c r="Q7" s="77"/>
      <c r="R7" s="77"/>
      <c r="S7" s="78" t="s">
        <v>45</v>
      </c>
      <c r="T7" s="79"/>
      <c r="V7" s="16"/>
    </row>
    <row r="8" spans="1:24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29" t="e">
        <f>IF(#REF!/5&gt;$G$6,G10,(#REF!/5))</f>
        <v>#REF!</v>
      </c>
      <c r="M8" s="30" t="e">
        <f>#REF!/5</f>
        <v>#REF!</v>
      </c>
      <c r="N8" s="30" t="e">
        <f>#REF!/5+G10</f>
        <v>#REF!</v>
      </c>
      <c r="P8" s="31"/>
      <c r="S8" s="33">
        <f>P4</f>
        <v>19017.187500000015</v>
      </c>
      <c r="T8" s="34" t="s">
        <v>101</v>
      </c>
      <c r="V8" s="16"/>
    </row>
    <row r="9" spans="1:24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29" t="e">
        <f>IF(#REF!/5&gt;$G$6,G11,(#REF!/5))</f>
        <v>#REF!</v>
      </c>
      <c r="M9" s="30" t="e">
        <f>#REF!/5</f>
        <v>#REF!</v>
      </c>
      <c r="N9" s="30" t="e">
        <f>#REF!/5+G10</f>
        <v>#REF!</v>
      </c>
      <c r="P9" s="35"/>
      <c r="Q9" s="36"/>
      <c r="R9" s="36"/>
      <c r="S9" s="14">
        <v>0</v>
      </c>
      <c r="T9" s="15" t="s">
        <v>14</v>
      </c>
      <c r="V9" s="16"/>
    </row>
    <row r="10" spans="1:24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2"/>
      <c r="M10" s="83"/>
      <c r="N10" s="83"/>
      <c r="O10" s="84"/>
      <c r="P10" s="85"/>
      <c r="Q10" s="86"/>
      <c r="R10" s="84"/>
      <c r="S10" s="14">
        <v>6500</v>
      </c>
      <c r="T10" s="15" t="s">
        <v>20</v>
      </c>
      <c r="V10" s="16"/>
    </row>
    <row r="11" spans="1:24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7"/>
      <c r="M11" s="88"/>
      <c r="N11" s="88"/>
      <c r="O11" s="84"/>
      <c r="P11" s="85"/>
      <c r="Q11" s="86"/>
      <c r="R11" s="84"/>
      <c r="S11" s="19">
        <f>SUM(S8:S10)</f>
        <v>25517.187500000015</v>
      </c>
      <c r="T11" s="37"/>
      <c r="V11" s="41"/>
    </row>
    <row r="12" spans="1:24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7"/>
      <c r="M12" s="88"/>
      <c r="N12" s="90"/>
      <c r="O12" s="84"/>
      <c r="P12" s="85"/>
      <c r="Q12" s="86"/>
      <c r="R12" s="84"/>
      <c r="S12" s="38"/>
      <c r="T12" s="39"/>
      <c r="V12" s="31"/>
      <c r="W12" s="31"/>
      <c r="X12" s="89"/>
    </row>
    <row r="13" spans="1:24" ht="13.5" thickBot="1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91" t="e">
        <v>#REF!</v>
      </c>
      <c r="M13" s="92" t="e">
        <v>#REF!</v>
      </c>
      <c r="N13" s="92" t="e">
        <v>#REF!</v>
      </c>
      <c r="O13" s="84"/>
      <c r="P13" s="85"/>
      <c r="Q13" s="86"/>
      <c r="R13" s="84"/>
      <c r="S13" s="40" t="s">
        <v>30</v>
      </c>
      <c r="T13" s="10"/>
      <c r="V13" s="89"/>
      <c r="W13" s="89"/>
    </row>
    <row r="14" spans="1:24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209" t="e">
        <f>IF(#REF!&gt;=0,"Total&lt;45K eligible for SRA","&gt;45K Not eligible for SRA")</f>
        <v>#REF!</v>
      </c>
      <c r="M14" s="210"/>
      <c r="N14" s="211"/>
      <c r="P14" s="31"/>
      <c r="Q14" s="41"/>
      <c r="S14" s="14">
        <f>IF(S11&lt;S6,S11,S6)</f>
        <v>21127.150625000002</v>
      </c>
      <c r="T14" s="42" t="s">
        <v>31</v>
      </c>
      <c r="V14" s="31"/>
      <c r="W14" s="31"/>
    </row>
    <row r="15" spans="1:24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212" t="e">
        <f>IF(#REF!&gt;=0,IF(#REF!&gt;=0,"SRA OK","SRA need to be adjusted"), "&gt;45K Not eligible for SRA")</f>
        <v>#REF!</v>
      </c>
      <c r="M15" s="213"/>
      <c r="N15" s="214"/>
      <c r="P15" s="44"/>
      <c r="Q15" s="41"/>
      <c r="S15" s="14">
        <f t="shared" ref="S15:S38" si="4">S14-G6</f>
        <v>21127.150625000002</v>
      </c>
      <c r="T15" s="23">
        <v>40553</v>
      </c>
      <c r="V15" s="31"/>
    </row>
    <row r="16" spans="1:24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5"/>
      <c r="N16" s="45"/>
      <c r="O16" s="45"/>
      <c r="P16" s="45"/>
      <c r="Q16" s="46"/>
      <c r="R16" s="46"/>
      <c r="S16" s="14">
        <f t="shared" si="4"/>
        <v>21127.150625000002</v>
      </c>
      <c r="T16" s="23">
        <v>40568</v>
      </c>
      <c r="V16" s="31"/>
    </row>
    <row r="17" spans="1:26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7"/>
      <c r="M17" s="45"/>
      <c r="N17" s="45"/>
      <c r="O17" s="45"/>
      <c r="P17" s="48"/>
      <c r="Q17" s="45"/>
      <c r="R17" s="46"/>
      <c r="S17" s="14">
        <f t="shared" si="4"/>
        <v>21127.150625000002</v>
      </c>
      <c r="T17" s="23">
        <v>40584</v>
      </c>
      <c r="V17" s="31"/>
    </row>
    <row r="18" spans="1:26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L18" s="45"/>
      <c r="M18" s="45"/>
      <c r="N18" s="45"/>
      <c r="O18" s="45"/>
      <c r="S18" s="14">
        <f t="shared" si="4"/>
        <v>21127.150625000002</v>
      </c>
      <c r="T18" s="23">
        <v>40599</v>
      </c>
      <c r="V18" s="31"/>
      <c r="Y18" s="31"/>
      <c r="Z18" s="31"/>
    </row>
    <row r="19" spans="1:26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L19" s="49"/>
      <c r="S19" s="14">
        <f t="shared" si="4"/>
        <v>21127.150625000002</v>
      </c>
      <c r="T19" s="23">
        <v>40612</v>
      </c>
    </row>
    <row r="20" spans="1:26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S20" s="14">
        <f t="shared" si="4"/>
        <v>21127.150625000002</v>
      </c>
      <c r="T20" s="23">
        <v>40627</v>
      </c>
    </row>
    <row r="21" spans="1:26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L21" s="52"/>
      <c r="S21" s="14">
        <f t="shared" si="4"/>
        <v>21127.150625000002</v>
      </c>
      <c r="T21" s="23">
        <v>40643</v>
      </c>
      <c r="Y21" s="31"/>
    </row>
    <row r="22" spans="1:26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L22" s="52"/>
      <c r="S22" s="14">
        <f t="shared" si="4"/>
        <v>21127.150625000002</v>
      </c>
      <c r="T22" s="23">
        <v>40658</v>
      </c>
      <c r="Y22" s="31"/>
    </row>
    <row r="23" spans="1:26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S23" s="14">
        <f t="shared" si="4"/>
        <v>21127.150625000002</v>
      </c>
      <c r="T23" s="23">
        <v>40673</v>
      </c>
      <c r="V23" s="31"/>
      <c r="Y23" s="31"/>
    </row>
    <row r="24" spans="1:26">
      <c r="A24" s="23">
        <v>40096</v>
      </c>
      <c r="B24" s="98">
        <v>150615.41</v>
      </c>
      <c r="C24" s="25">
        <v>11296.16</v>
      </c>
      <c r="D24" s="25">
        <v>3765.33</v>
      </c>
      <c r="E24" s="26">
        <v>11296.16</v>
      </c>
      <c r="F24" s="25">
        <v>3765.33</v>
      </c>
      <c r="G24" s="27">
        <v>20790.150000000001</v>
      </c>
      <c r="H24" s="27">
        <v>0</v>
      </c>
      <c r="I24" s="53"/>
      <c r="J24" s="53"/>
      <c r="K24" s="53"/>
      <c r="L24" s="207"/>
      <c r="M24" s="207"/>
      <c r="N24" s="207"/>
      <c r="S24" s="14">
        <f t="shared" si="4"/>
        <v>21127.150625000002</v>
      </c>
      <c r="T24" s="23">
        <v>40688</v>
      </c>
      <c r="V24" s="31"/>
      <c r="Y24" s="31"/>
    </row>
    <row r="25" spans="1:26">
      <c r="A25" s="23">
        <v>40111</v>
      </c>
      <c r="B25" s="98">
        <f>J5</f>
        <v>8859.7249999999985</v>
      </c>
      <c r="C25" s="25">
        <f t="shared" si="0"/>
        <v>664.47937499999989</v>
      </c>
      <c r="D25" s="25">
        <f t="shared" si="1"/>
        <v>221.49312499999996</v>
      </c>
      <c r="E25" s="26">
        <f t="shared" si="2"/>
        <v>664.47937499999989</v>
      </c>
      <c r="F25" s="25">
        <f t="shared" si="3"/>
        <v>221.49312499999996</v>
      </c>
      <c r="G25" s="27">
        <v>1222.95</v>
      </c>
      <c r="H25" s="27">
        <v>0</v>
      </c>
      <c r="I25" s="54"/>
      <c r="J25" s="55"/>
      <c r="K25" s="54"/>
      <c r="L25" s="207"/>
      <c r="M25" s="207"/>
      <c r="N25" s="207"/>
      <c r="S25" s="14">
        <f t="shared" si="4"/>
        <v>21127.150625000002</v>
      </c>
      <c r="T25" s="23">
        <v>40704</v>
      </c>
      <c r="V25" s="31"/>
    </row>
    <row r="26" spans="1:26">
      <c r="A26" s="23">
        <v>40127</v>
      </c>
      <c r="B26" s="98">
        <f>J5</f>
        <v>8859.7249999999985</v>
      </c>
      <c r="C26" s="25">
        <f t="shared" si="0"/>
        <v>664.47937499999989</v>
      </c>
      <c r="D26" s="25">
        <v>0.08</v>
      </c>
      <c r="E26" s="26">
        <f t="shared" si="2"/>
        <v>664.47937499999989</v>
      </c>
      <c r="F26" s="25">
        <v>0.08</v>
      </c>
      <c r="G26" s="27">
        <v>0</v>
      </c>
      <c r="H26" s="27">
        <v>0</v>
      </c>
      <c r="I26" s="50"/>
      <c r="J26" s="45"/>
      <c r="K26" s="45"/>
      <c r="S26" s="14">
        <f t="shared" si="4"/>
        <v>21127.150625000002</v>
      </c>
      <c r="T26" s="23">
        <v>40719</v>
      </c>
      <c r="V26" s="31"/>
    </row>
    <row r="27" spans="1:26" ht="15" customHeight="1">
      <c r="A27" s="23">
        <v>40142</v>
      </c>
      <c r="B27" s="98">
        <f>J5</f>
        <v>8859.7249999999985</v>
      </c>
      <c r="C27" s="25">
        <f t="shared" si="0"/>
        <v>664.47937499999989</v>
      </c>
      <c r="D27" s="25">
        <v>0</v>
      </c>
      <c r="E27" s="26">
        <f>B27*0.075</f>
        <v>664.47937499999989</v>
      </c>
      <c r="F27" s="25">
        <v>0</v>
      </c>
      <c r="G27" s="134">
        <v>-885.95</v>
      </c>
      <c r="H27" s="27">
        <v>0</v>
      </c>
      <c r="I27" s="56"/>
      <c r="J27" s="56"/>
      <c r="K27" s="56"/>
      <c r="S27" s="14">
        <f t="shared" si="4"/>
        <v>21127.150625000002</v>
      </c>
      <c r="T27" s="23">
        <v>40369</v>
      </c>
      <c r="V27" s="31"/>
    </row>
    <row r="28" spans="1:26">
      <c r="A28" s="23">
        <v>40157</v>
      </c>
      <c r="B28" s="98">
        <f>J5</f>
        <v>8859.7249999999985</v>
      </c>
      <c r="C28" s="25">
        <f t="shared" si="0"/>
        <v>664.47937499999989</v>
      </c>
      <c r="D28" s="135">
        <f>(B28*0.025)+221.47+221.49</f>
        <v>664.453125</v>
      </c>
      <c r="E28" s="26">
        <f>B28*0.075</f>
        <v>664.47937499999989</v>
      </c>
      <c r="F28" s="135">
        <f>(B28*0.025)+221.47+221.49</f>
        <v>664.453125</v>
      </c>
      <c r="G28" s="27">
        <v>0</v>
      </c>
      <c r="H28" s="27">
        <v>0</v>
      </c>
      <c r="I28" s="56"/>
      <c r="J28" s="56"/>
      <c r="K28" s="56"/>
      <c r="L28" s="45"/>
      <c r="M28" s="45"/>
      <c r="N28" s="45"/>
      <c r="O28" s="45"/>
      <c r="P28" s="48"/>
      <c r="Q28" s="45"/>
      <c r="R28" s="46"/>
      <c r="S28" s="14">
        <f t="shared" si="4"/>
        <v>21127.150625000002</v>
      </c>
      <c r="T28" s="23">
        <v>40384</v>
      </c>
      <c r="V28" s="89"/>
    </row>
    <row r="29" spans="1:26" ht="13.5" thickBot="1">
      <c r="A29" s="23">
        <v>39441</v>
      </c>
      <c r="B29" s="98">
        <f>J5</f>
        <v>8859.7249999999985</v>
      </c>
      <c r="C29" s="25">
        <f t="shared" si="0"/>
        <v>664.47937499999989</v>
      </c>
      <c r="D29" s="126">
        <f t="shared" si="1"/>
        <v>221.49312499999996</v>
      </c>
      <c r="E29" s="97">
        <f t="shared" si="2"/>
        <v>664.47937499999989</v>
      </c>
      <c r="F29" s="97">
        <f t="shared" si="3"/>
        <v>221.49312499999996</v>
      </c>
      <c r="G29" s="27">
        <v>0</v>
      </c>
      <c r="H29" s="27">
        <v>0</v>
      </c>
      <c r="I29" s="56"/>
      <c r="J29" s="56"/>
      <c r="K29" s="56"/>
      <c r="L29" s="57"/>
      <c r="M29" s="57"/>
      <c r="N29" s="57"/>
      <c r="O29" s="57"/>
      <c r="S29" s="14">
        <f t="shared" si="4"/>
        <v>21127.150625000002</v>
      </c>
      <c r="T29" s="23">
        <v>40400</v>
      </c>
      <c r="V29" s="89" t="s">
        <v>32</v>
      </c>
    </row>
    <row r="30" spans="1:26">
      <c r="A30" s="58" t="s">
        <v>33</v>
      </c>
      <c r="B30" s="59">
        <f t="shared" ref="B30:H30" si="5">SUM(B6:B29)</f>
        <v>194914.03500000003</v>
      </c>
      <c r="C30" s="59">
        <f t="shared" si="5"/>
        <v>14618.556874999995</v>
      </c>
      <c r="D30" s="94">
        <f t="shared" si="5"/>
        <v>4872.8493749999998</v>
      </c>
      <c r="E30" s="94">
        <f t="shared" si="5"/>
        <v>14618.556874999995</v>
      </c>
      <c r="F30" s="94">
        <f t="shared" si="5"/>
        <v>4872.8493749999998</v>
      </c>
      <c r="G30" s="59">
        <f t="shared" si="5"/>
        <v>21127.15</v>
      </c>
      <c r="H30" s="59">
        <f t="shared" si="5"/>
        <v>0</v>
      </c>
      <c r="I30" s="44"/>
      <c r="J30" s="132"/>
      <c r="K30" s="44"/>
      <c r="L30" s="57"/>
      <c r="M30" s="57"/>
      <c r="N30" s="57"/>
      <c r="O30" s="57"/>
      <c r="S30" s="14">
        <f t="shared" si="4"/>
        <v>21127.150625000002</v>
      </c>
      <c r="T30" s="23">
        <v>40415</v>
      </c>
      <c r="V30" s="89" t="s">
        <v>32</v>
      </c>
    </row>
    <row r="31" spans="1:26" ht="13.5" thickBot="1">
      <c r="A31" s="63"/>
      <c r="B31" s="64"/>
      <c r="C31" s="159">
        <f>B30*0.075</f>
        <v>14618.552625000002</v>
      </c>
      <c r="D31" s="160">
        <f>B30*0.025</f>
        <v>4872.850875000001</v>
      </c>
      <c r="E31" s="64">
        <f>C31</f>
        <v>14618.552625000002</v>
      </c>
      <c r="F31" s="64">
        <f>D31</f>
        <v>4872.850875000001</v>
      </c>
      <c r="G31" s="65"/>
      <c r="H31" s="65"/>
      <c r="I31" s="44"/>
      <c r="J31" s="132"/>
      <c r="K31" s="44"/>
      <c r="L31" s="57"/>
      <c r="M31" s="57"/>
      <c r="N31" s="57"/>
      <c r="O31" s="57"/>
      <c r="S31" s="14">
        <f t="shared" si="4"/>
        <v>21127.150625000002</v>
      </c>
      <c r="T31" s="23">
        <v>40066</v>
      </c>
      <c r="V31" s="89" t="s">
        <v>32</v>
      </c>
    </row>
    <row r="32" spans="1:26">
      <c r="B32" s="31" t="s">
        <v>128</v>
      </c>
      <c r="C32" s="31">
        <f>C30-C31</f>
        <v>4.2499999926803866E-3</v>
      </c>
      <c r="D32" s="31">
        <f>D30-D31</f>
        <v>-1.5000000012150849E-3</v>
      </c>
      <c r="E32" s="31">
        <f>E30-E31</f>
        <v>4.2499999926803866E-3</v>
      </c>
      <c r="F32" s="31">
        <f>F30-F31</f>
        <v>-1.5000000012150849E-3</v>
      </c>
      <c r="G32" s="45"/>
      <c r="H32" s="45"/>
      <c r="I32" s="57"/>
      <c r="J32" s="57"/>
      <c r="K32" s="57"/>
      <c r="L32" s="57"/>
      <c r="M32" s="57"/>
      <c r="N32" s="57"/>
      <c r="O32" s="57"/>
      <c r="S32" s="14">
        <f t="shared" si="4"/>
        <v>21127.150625000002</v>
      </c>
      <c r="T32" s="23">
        <v>40081</v>
      </c>
      <c r="V32" s="89" t="s">
        <v>32</v>
      </c>
    </row>
    <row r="33" spans="2:20" ht="15">
      <c r="C33" s="140"/>
      <c r="E33" s="141"/>
      <c r="F33" s="141"/>
      <c r="H33" s="36"/>
      <c r="I33" s="57"/>
      <c r="J33" s="57"/>
      <c r="K33" s="57"/>
      <c r="L33" s="57"/>
      <c r="M33" s="57"/>
      <c r="N33" s="57"/>
      <c r="O33" s="57"/>
      <c r="S33" s="14">
        <f t="shared" si="4"/>
        <v>337.00062500000058</v>
      </c>
      <c r="T33" s="23">
        <v>40096</v>
      </c>
    </row>
    <row r="34" spans="2:20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L34" s="57"/>
      <c r="M34" s="57"/>
      <c r="N34" s="57"/>
      <c r="O34" s="57"/>
      <c r="S34" s="14">
        <f t="shared" si="4"/>
        <v>-885.94937499999946</v>
      </c>
      <c r="T34" s="23">
        <v>40111</v>
      </c>
    </row>
    <row r="35" spans="2:20">
      <c r="C35" s="31"/>
      <c r="D35" s="31"/>
      <c r="G35" s="36"/>
      <c r="I35" s="57"/>
      <c r="J35" s="57"/>
      <c r="K35" s="57"/>
      <c r="L35" s="57"/>
      <c r="M35" s="57"/>
      <c r="N35" s="57"/>
      <c r="O35" s="57"/>
      <c r="S35" s="14">
        <f t="shared" si="4"/>
        <v>-885.94937499999946</v>
      </c>
      <c r="T35" s="23">
        <v>40127</v>
      </c>
    </row>
    <row r="36" spans="2:20">
      <c r="C36" s="31"/>
      <c r="D36" s="31"/>
      <c r="G36" s="36"/>
      <c r="I36" s="70"/>
      <c r="J36" s="57"/>
      <c r="K36" s="57"/>
      <c r="L36" s="57"/>
      <c r="M36" s="57"/>
      <c r="N36" s="57"/>
      <c r="O36" s="57"/>
      <c r="S36" s="14">
        <f t="shared" si="4"/>
        <v>6.2500000058207661E-4</v>
      </c>
      <c r="T36" s="23">
        <v>40142</v>
      </c>
    </row>
    <row r="37" spans="2:20">
      <c r="C37" s="31"/>
      <c r="D37" s="31"/>
      <c r="I37" s="57"/>
      <c r="J37" s="57"/>
      <c r="K37" s="57"/>
      <c r="L37" s="57"/>
      <c r="M37" s="57"/>
      <c r="N37" s="57"/>
      <c r="O37" s="57"/>
      <c r="S37" s="14">
        <f t="shared" si="4"/>
        <v>6.2500000058207661E-4</v>
      </c>
      <c r="T37" s="23">
        <v>40157</v>
      </c>
    </row>
    <row r="38" spans="2:20" ht="13.5" thickBot="1">
      <c r="C38" s="31"/>
      <c r="D38" s="31"/>
      <c r="I38" s="57"/>
      <c r="J38" s="57"/>
      <c r="K38" s="57"/>
      <c r="L38" s="57"/>
      <c r="M38" s="57"/>
      <c r="N38" s="57"/>
      <c r="O38" s="57"/>
      <c r="P38" s="5" t="s">
        <v>42</v>
      </c>
      <c r="S38" s="19">
        <f t="shared" si="4"/>
        <v>6.2500000058207661E-4</v>
      </c>
      <c r="T38" s="71">
        <v>39441</v>
      </c>
    </row>
    <row r="39" spans="2:20">
      <c r="I39" s="57"/>
      <c r="J39" s="57"/>
      <c r="K39" s="57"/>
      <c r="L39" s="57"/>
      <c r="M39" s="57"/>
      <c r="N39" s="57"/>
      <c r="O39" s="57"/>
    </row>
    <row r="40" spans="2:20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2:20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2:20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  <row r="43" spans="2:20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</row>
    <row r="44" spans="2:20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2:20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20">
      <c r="B46" s="70"/>
      <c r="C46" s="70"/>
      <c r="D46" s="70"/>
      <c r="E46" s="70"/>
      <c r="F46" s="70"/>
      <c r="G46" s="57"/>
      <c r="H46" s="57"/>
    </row>
    <row r="48" spans="2:20">
      <c r="C48" s="31"/>
      <c r="D48" s="31"/>
    </row>
  </sheetData>
  <mergeCells count="7">
    <mergeCell ref="L25:N25"/>
    <mergeCell ref="B1:C1"/>
    <mergeCell ref="M1:N1"/>
    <mergeCell ref="B2:C2"/>
    <mergeCell ref="L14:N14"/>
    <mergeCell ref="L15:N15"/>
    <mergeCell ref="L24:N24"/>
  </mergeCells>
  <pageMargins left="0.45" right="0.4" top="1" bottom="0.72" header="0.5" footer="0.5"/>
  <pageSetup paperSize="14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/>
  <dimension ref="A1:WVS70"/>
  <sheetViews>
    <sheetView topLeftCell="R1" zoomScaleNormal="100" workbookViewId="0">
      <selection activeCell="S3" sqref="S3:AJ97"/>
    </sheetView>
  </sheetViews>
  <sheetFormatPr defaultRowHeight="12.75"/>
  <cols>
    <col min="1" max="1" width="10.42578125" style="5" bestFit="1" customWidth="1"/>
    <col min="2" max="2" width="13.42578125" style="5" customWidth="1"/>
    <col min="3" max="3" width="12.42578125" style="5" customWidth="1"/>
    <col min="4" max="4" width="12.5703125" style="5" customWidth="1"/>
    <col min="5" max="6" width="13" style="5" customWidth="1"/>
    <col min="7" max="7" width="19" style="5" customWidth="1"/>
    <col min="8" max="8" width="14.7109375" style="5" customWidth="1"/>
    <col min="9" max="9" width="12.7109375" style="5" hidden="1" customWidth="1"/>
    <col min="10" max="11" width="17.7109375" style="5" hidden="1" customWidth="1"/>
    <col min="12" max="12" width="9.28515625" style="5" hidden="1" customWidth="1"/>
    <col min="13" max="16" width="11.28515625" style="5" customWidth="1"/>
    <col min="17" max="17" width="19.7109375" style="5" customWidth="1"/>
    <col min="18" max="18" width="9.140625" style="5"/>
    <col min="19" max="19" width="13.5703125" style="5" customWidth="1"/>
    <col min="20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30" ht="13.5" thickBot="1">
      <c r="A1" s="1" t="s">
        <v>0</v>
      </c>
      <c r="B1" s="205" t="s">
        <v>65</v>
      </c>
      <c r="C1" s="205"/>
      <c r="D1" s="1" t="s">
        <v>1</v>
      </c>
      <c r="E1" s="2">
        <v>12</v>
      </c>
      <c r="F1" s="3" t="s">
        <v>2</v>
      </c>
      <c r="G1" s="4">
        <v>38040</v>
      </c>
      <c r="J1" s="208" t="s">
        <v>3</v>
      </c>
      <c r="K1" s="208"/>
    </row>
    <row r="2" spans="1:30">
      <c r="A2" s="1" t="s">
        <v>4</v>
      </c>
      <c r="B2" s="206">
        <v>537585840</v>
      </c>
      <c r="C2" s="206"/>
      <c r="E2" s="6"/>
      <c r="F2" s="3" t="s">
        <v>5</v>
      </c>
      <c r="G2" s="4">
        <v>19596</v>
      </c>
      <c r="I2" s="7">
        <v>2007</v>
      </c>
      <c r="J2" s="11">
        <v>2007</v>
      </c>
      <c r="K2" s="11">
        <v>2007</v>
      </c>
      <c r="M2" s="8">
        <f>(270000*0.05)*2</f>
        <v>27000</v>
      </c>
      <c r="N2" s="74" t="s">
        <v>43</v>
      </c>
      <c r="O2" s="9"/>
      <c r="P2" s="8">
        <v>19500</v>
      </c>
      <c r="Q2" s="10"/>
    </row>
    <row r="3" spans="1:30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3" t="s">
        <v>11</v>
      </c>
      <c r="G3" s="3">
        <f>G4*E1</f>
        <v>62446.680000000008</v>
      </c>
      <c r="H3" s="49"/>
      <c r="I3" s="12" t="s">
        <v>12</v>
      </c>
      <c r="J3" s="13" t="s">
        <v>13</v>
      </c>
      <c r="K3" s="13" t="s">
        <v>13</v>
      </c>
      <c r="M3" s="14">
        <f>-C30*2</f>
        <v>-6237.1009999999987</v>
      </c>
      <c r="P3" s="14">
        <v>0</v>
      </c>
      <c r="Q3" s="15" t="s">
        <v>14</v>
      </c>
      <c r="S3" s="16"/>
      <c r="V3" s="5" t="s">
        <v>87</v>
      </c>
      <c r="W3" s="5">
        <v>11264</v>
      </c>
      <c r="AA3" s="5">
        <v>24000</v>
      </c>
    </row>
    <row r="4" spans="1:30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3" t="s">
        <v>17</v>
      </c>
      <c r="G4" s="18">
        <v>5203.8900000000003</v>
      </c>
      <c r="H4" s="49"/>
      <c r="I4" s="12" t="s">
        <v>16</v>
      </c>
      <c r="J4" s="13" t="s">
        <v>18</v>
      </c>
      <c r="K4" s="13" t="s">
        <v>19</v>
      </c>
      <c r="M4" s="19">
        <f>SUM(M2:M3)</f>
        <v>20762.899000000001</v>
      </c>
      <c r="N4" s="20" t="s">
        <v>44</v>
      </c>
      <c r="O4" s="20"/>
      <c r="P4" s="14">
        <v>6500</v>
      </c>
      <c r="Q4" s="15" t="s">
        <v>20</v>
      </c>
      <c r="S4" s="16"/>
      <c r="V4" s="5" t="s">
        <v>88</v>
      </c>
      <c r="W4" s="5">
        <v>22500</v>
      </c>
      <c r="AA4" s="5">
        <v>698.35</v>
      </c>
    </row>
    <row r="5" spans="1:30">
      <c r="A5" s="21" t="s">
        <v>21</v>
      </c>
      <c r="B5" s="21" t="s">
        <v>22</v>
      </c>
      <c r="C5" s="21" t="s">
        <v>48</v>
      </c>
      <c r="D5" s="21" t="s">
        <v>24</v>
      </c>
      <c r="E5" s="21" t="s">
        <v>25</v>
      </c>
      <c r="F5" s="3" t="s">
        <v>26</v>
      </c>
      <c r="G5" s="3">
        <f>G4/2</f>
        <v>2601.9450000000002</v>
      </c>
      <c r="H5" s="49"/>
      <c r="I5" s="22" t="s">
        <v>27</v>
      </c>
      <c r="J5" s="21" t="s">
        <v>28</v>
      </c>
      <c r="K5" s="21" t="s">
        <v>28</v>
      </c>
      <c r="M5" s="31"/>
      <c r="P5" s="14">
        <f>-C31</f>
        <v>-779.63762499999984</v>
      </c>
      <c r="Q5" s="15" t="s">
        <v>29</v>
      </c>
      <c r="S5" s="43"/>
      <c r="W5" s="5">
        <f>SUM(W3:W4)</f>
        <v>33764</v>
      </c>
      <c r="AA5" s="5">
        <f>AA3-AA4</f>
        <v>23301.65</v>
      </c>
    </row>
    <row r="6" spans="1:30" ht="13.5" thickBot="1">
      <c r="A6" s="23">
        <v>40553</v>
      </c>
      <c r="B6" s="24">
        <f>5052.32/2</f>
        <v>2526.16</v>
      </c>
      <c r="C6" s="25">
        <f>B6*0.05</f>
        <v>126.30799999999999</v>
      </c>
      <c r="D6" s="26">
        <f>C6</f>
        <v>126.30799999999999</v>
      </c>
      <c r="E6" s="27">
        <v>0</v>
      </c>
      <c r="G6" s="16"/>
      <c r="H6" s="28"/>
      <c r="I6" s="29" t="e">
        <f>IF(#REF!/5&gt;$E$6,E6,(#REF!/5))</f>
        <v>#REF!</v>
      </c>
      <c r="J6" s="30" t="e">
        <f>#REF!/5</f>
        <v>#REF!</v>
      </c>
      <c r="K6" s="30" t="e">
        <f>#REF!/5 +E6</f>
        <v>#REF!</v>
      </c>
      <c r="M6" s="76"/>
      <c r="N6" s="77"/>
      <c r="O6" s="77"/>
      <c r="P6" s="19">
        <f>SUM(P2:P5)</f>
        <v>25220.362375000001</v>
      </c>
      <c r="Q6" s="32" t="s">
        <v>93</v>
      </c>
      <c r="S6" s="41"/>
      <c r="AA6" s="5">
        <v>24000</v>
      </c>
    </row>
    <row r="7" spans="1:30" ht="13.5" thickBot="1">
      <c r="A7" s="23">
        <v>40568</v>
      </c>
      <c r="B7" s="24">
        <v>2601.9499999999998</v>
      </c>
      <c r="C7" s="25">
        <f t="shared" ref="C7:C29" si="0">B7*0.05</f>
        <v>130.0975</v>
      </c>
      <c r="D7" s="26">
        <f t="shared" ref="D7:D29" si="1">C7</f>
        <v>130.0975</v>
      </c>
      <c r="E7" s="27">
        <v>0</v>
      </c>
      <c r="G7" s="16"/>
      <c r="H7" s="28"/>
      <c r="I7" s="29" t="e">
        <f>IF(#REF!/5&gt;$E$6,#REF!,(#REF!/5))</f>
        <v>#REF!</v>
      </c>
      <c r="J7" s="30" t="e">
        <f>#REF!/5</f>
        <v>#REF!</v>
      </c>
      <c r="K7" s="30" t="e">
        <f>#REF!/5 +#REF!</f>
        <v>#REF!</v>
      </c>
      <c r="M7" s="76"/>
      <c r="N7" s="77"/>
      <c r="O7" s="77"/>
      <c r="P7" s="78" t="s">
        <v>45</v>
      </c>
      <c r="Q7" s="79"/>
      <c r="T7" s="5">
        <f>33764*0.0145</f>
        <v>489.57800000000003</v>
      </c>
      <c r="AA7" s="5">
        <f>SUM(AA5:AA6)</f>
        <v>47301.65</v>
      </c>
    </row>
    <row r="8" spans="1:30">
      <c r="A8" s="23">
        <v>40584</v>
      </c>
      <c r="B8" s="24">
        <v>2601.9499999999998</v>
      </c>
      <c r="C8" s="25">
        <f t="shared" si="0"/>
        <v>130.0975</v>
      </c>
      <c r="D8" s="26">
        <f t="shared" si="1"/>
        <v>130.0975</v>
      </c>
      <c r="E8" s="27">
        <v>0</v>
      </c>
      <c r="G8" s="16"/>
      <c r="H8" s="28"/>
      <c r="I8" s="29" t="e">
        <f>IF(#REF!/5&gt;$E$6,E10,(#REF!/5))</f>
        <v>#REF!</v>
      </c>
      <c r="J8" s="30" t="e">
        <f>#REF!/5</f>
        <v>#REF!</v>
      </c>
      <c r="K8" s="30" t="e">
        <f>#REF!/5+E10</f>
        <v>#REF!</v>
      </c>
      <c r="M8" s="31"/>
      <c r="P8" s="33">
        <f>57000+M3</f>
        <v>50762.899000000005</v>
      </c>
      <c r="Q8" s="34" t="s">
        <v>102</v>
      </c>
      <c r="S8" s="5">
        <f>3592/23</f>
        <v>156.17391304347825</v>
      </c>
      <c r="T8" s="5">
        <f>1310+1310+1000+1000</f>
        <v>4620</v>
      </c>
      <c r="U8" s="5">
        <f>24500-T8</f>
        <v>19880</v>
      </c>
      <c r="W8" s="31">
        <f>4065*0.0063</f>
        <v>25.609500000000001</v>
      </c>
      <c r="X8" s="5">
        <f>329.5+112+23.84</f>
        <v>465.34</v>
      </c>
    </row>
    <row r="9" spans="1:30">
      <c r="A9" s="23">
        <v>40599</v>
      </c>
      <c r="B9" s="24">
        <v>2601.9499999999998</v>
      </c>
      <c r="C9" s="25">
        <f t="shared" si="0"/>
        <v>130.0975</v>
      </c>
      <c r="D9" s="26">
        <f t="shared" si="1"/>
        <v>130.0975</v>
      </c>
      <c r="E9" s="27">
        <v>0</v>
      </c>
      <c r="G9" s="16"/>
      <c r="H9" s="28"/>
      <c r="I9" s="29" t="e">
        <f>IF(#REF!/5&gt;$E$6,E11,(#REF!/5))</f>
        <v>#REF!</v>
      </c>
      <c r="J9" s="30" t="e">
        <f>#REF!/5</f>
        <v>#REF!</v>
      </c>
      <c r="K9" s="30" t="e">
        <f>#REF!/5+E10</f>
        <v>#REF!</v>
      </c>
      <c r="M9" s="35"/>
      <c r="N9" s="36"/>
      <c r="O9" s="36"/>
      <c r="P9" s="14">
        <v>0</v>
      </c>
      <c r="Q9" s="15" t="s">
        <v>14</v>
      </c>
      <c r="S9" s="122">
        <f>S8/8</f>
        <v>19.521739130434781</v>
      </c>
    </row>
    <row r="10" spans="1:30">
      <c r="A10" s="23">
        <v>40612</v>
      </c>
      <c r="B10" s="24">
        <v>2601.9499999999998</v>
      </c>
      <c r="C10" s="25">
        <f t="shared" si="0"/>
        <v>130.0975</v>
      </c>
      <c r="D10" s="26">
        <f t="shared" si="1"/>
        <v>130.0975</v>
      </c>
      <c r="E10" s="27">
        <v>0</v>
      </c>
      <c r="G10" s="80" t="s">
        <v>96</v>
      </c>
      <c r="H10" s="81"/>
      <c r="I10" s="82"/>
      <c r="J10" s="83"/>
      <c r="K10" s="83"/>
      <c r="L10" s="84"/>
      <c r="M10" s="85"/>
      <c r="N10" s="86"/>
      <c r="O10" s="84"/>
      <c r="P10" s="14">
        <v>0</v>
      </c>
      <c r="Q10" s="15" t="s">
        <v>20</v>
      </c>
      <c r="S10" s="41"/>
    </row>
    <row r="11" spans="1:30" ht="13.5" thickBot="1">
      <c r="A11" s="23">
        <v>40627</v>
      </c>
      <c r="B11" s="24">
        <v>2601.9499999999998</v>
      </c>
      <c r="C11" s="25">
        <f t="shared" si="0"/>
        <v>130.0975</v>
      </c>
      <c r="D11" s="26">
        <f t="shared" si="1"/>
        <v>130.0975</v>
      </c>
      <c r="E11" s="27">
        <v>0</v>
      </c>
      <c r="G11" s="80" t="s">
        <v>97</v>
      </c>
      <c r="H11" s="81"/>
      <c r="I11" s="87"/>
      <c r="J11" s="88"/>
      <c r="K11" s="88"/>
      <c r="L11" s="84"/>
      <c r="M11" s="85"/>
      <c r="N11" s="86"/>
      <c r="O11" s="84"/>
      <c r="P11" s="19">
        <f>SUM(P8:P10)</f>
        <v>50762.899000000005</v>
      </c>
      <c r="Q11" s="37"/>
      <c r="S11" s="31"/>
      <c r="T11" s="31"/>
      <c r="U11" s="89"/>
    </row>
    <row r="12" spans="1:30" ht="13.5" thickBot="1">
      <c r="A12" s="23">
        <v>40643</v>
      </c>
      <c r="B12" s="24">
        <v>2601.9499999999998</v>
      </c>
      <c r="C12" s="25">
        <f t="shared" si="0"/>
        <v>130.0975</v>
      </c>
      <c r="D12" s="26">
        <f t="shared" si="1"/>
        <v>130.0975</v>
      </c>
      <c r="E12" s="27">
        <v>0</v>
      </c>
      <c r="G12" s="80" t="s">
        <v>98</v>
      </c>
      <c r="H12" s="84"/>
      <c r="I12" s="87"/>
      <c r="J12" s="88"/>
      <c r="K12" s="90"/>
      <c r="L12" s="84"/>
      <c r="M12" s="85"/>
      <c r="N12" s="86"/>
      <c r="O12" s="84"/>
      <c r="P12" s="38"/>
      <c r="Q12" s="39"/>
      <c r="S12" s="89">
        <f>4809*0.0063</f>
        <v>30.296700000000001</v>
      </c>
      <c r="T12" s="89"/>
    </row>
    <row r="13" spans="1:30">
      <c r="A13" s="23">
        <v>40658</v>
      </c>
      <c r="B13" s="24">
        <v>2601.9499999999998</v>
      </c>
      <c r="C13" s="25">
        <f t="shared" si="0"/>
        <v>130.0975</v>
      </c>
      <c r="D13" s="26">
        <f t="shared" si="1"/>
        <v>130.0975</v>
      </c>
      <c r="E13" s="27">
        <v>0</v>
      </c>
      <c r="G13" s="80" t="s">
        <v>105</v>
      </c>
      <c r="H13" s="81"/>
      <c r="I13" s="91" t="e">
        <v>#REF!</v>
      </c>
      <c r="J13" s="92" t="e">
        <v>#REF!</v>
      </c>
      <c r="K13" s="92" t="e">
        <v>#REF!</v>
      </c>
      <c r="L13" s="84"/>
      <c r="M13" s="85"/>
      <c r="N13" s="86"/>
      <c r="O13" s="84"/>
      <c r="P13" s="40" t="s">
        <v>30</v>
      </c>
      <c r="Q13" s="10"/>
      <c r="S13" s="31">
        <f>30.3*269.8</f>
        <v>8174.9400000000005</v>
      </c>
      <c r="T13" s="31"/>
      <c r="V13" s="5">
        <v>2015</v>
      </c>
      <c r="Y13" s="5">
        <v>2015</v>
      </c>
      <c r="AD13" s="5">
        <v>2016</v>
      </c>
    </row>
    <row r="14" spans="1:30">
      <c r="A14" s="23">
        <v>40673</v>
      </c>
      <c r="B14" s="24">
        <v>2601.9499999999998</v>
      </c>
      <c r="C14" s="25">
        <f t="shared" si="0"/>
        <v>130.0975</v>
      </c>
      <c r="D14" s="26">
        <f t="shared" si="1"/>
        <v>130.0975</v>
      </c>
      <c r="E14" s="27">
        <v>0</v>
      </c>
      <c r="I14" s="212" t="e">
        <f>IF(#REF!&gt;=0,IF(#REF!&gt;=0,"SRA OK","SRA need to be adjusted"), "&gt;45K Not eligible for SRA")</f>
        <v>#REF!</v>
      </c>
      <c r="J14" s="213"/>
      <c r="K14" s="214"/>
      <c r="M14" s="44"/>
      <c r="N14" s="41"/>
      <c r="P14" s="14">
        <f>IF(P11&lt;P6,P11,P6)</f>
        <v>25220.362375000001</v>
      </c>
      <c r="Q14" s="42" t="s">
        <v>31</v>
      </c>
      <c r="S14" s="31"/>
      <c r="V14" s="5" t="s">
        <v>66</v>
      </c>
      <c r="Y14" s="5" t="s">
        <v>67</v>
      </c>
      <c r="AD14" s="5" t="s">
        <v>67</v>
      </c>
    </row>
    <row r="15" spans="1:30" ht="15">
      <c r="A15" s="23">
        <v>40688</v>
      </c>
      <c r="B15" s="24">
        <v>2601.9499999999998</v>
      </c>
      <c r="C15" s="25">
        <f t="shared" si="0"/>
        <v>130.0975</v>
      </c>
      <c r="D15" s="26">
        <f t="shared" si="1"/>
        <v>130.0975</v>
      </c>
      <c r="E15" s="27">
        <v>0</v>
      </c>
      <c r="G15"/>
      <c r="H15"/>
      <c r="I15" s="212" t="e">
        <v>#REF!</v>
      </c>
      <c r="J15" s="213"/>
      <c r="K15" s="214"/>
      <c r="L15"/>
      <c r="M15" s="44"/>
      <c r="N15" s="41"/>
      <c r="P15" s="14">
        <f t="shared" ref="P15:P38" si="2">P14-E6</f>
        <v>25220.362375000001</v>
      </c>
      <c r="Q15" s="23">
        <v>40553</v>
      </c>
      <c r="S15" s="31">
        <f>6591/2</f>
        <v>3295.5</v>
      </c>
    </row>
    <row r="16" spans="1:30">
      <c r="A16" s="23">
        <v>40704</v>
      </c>
      <c r="B16" s="24">
        <v>2601.9499999999998</v>
      </c>
      <c r="C16" s="25">
        <f t="shared" si="0"/>
        <v>130.0975</v>
      </c>
      <c r="D16" s="26">
        <f t="shared" si="1"/>
        <v>130.0975</v>
      </c>
      <c r="E16" s="27">
        <v>0</v>
      </c>
      <c r="F16" s="3"/>
      <c r="I16" s="45"/>
      <c r="J16" s="45"/>
      <c r="K16" s="45"/>
      <c r="L16" s="45"/>
      <c r="M16" s="45"/>
      <c r="N16" s="46"/>
      <c r="O16" s="46"/>
      <c r="P16" s="14">
        <f t="shared" si="2"/>
        <v>25220.362375000001</v>
      </c>
      <c r="Q16" s="23">
        <v>40568</v>
      </c>
      <c r="S16" s="31">
        <f>S15*10%</f>
        <v>329.55</v>
      </c>
      <c r="T16" s="5" t="s">
        <v>84</v>
      </c>
    </row>
    <row r="17" spans="1:37">
      <c r="A17" s="23">
        <v>40719</v>
      </c>
      <c r="B17" s="24">
        <v>2601.9499999999998</v>
      </c>
      <c r="C17" s="25">
        <f t="shared" si="0"/>
        <v>130.0975</v>
      </c>
      <c r="D17" s="26">
        <f t="shared" si="1"/>
        <v>130.0975</v>
      </c>
      <c r="E17" s="27">
        <v>0</v>
      </c>
      <c r="I17" s="47"/>
      <c r="J17" s="45"/>
      <c r="K17" s="45"/>
      <c r="L17" s="45"/>
      <c r="M17" s="48"/>
      <c r="N17" s="45"/>
      <c r="O17" s="46"/>
      <c r="P17" s="14">
        <f t="shared" si="2"/>
        <v>25220.362375000001</v>
      </c>
      <c r="Q17" s="23">
        <v>40584</v>
      </c>
      <c r="S17" s="31">
        <v>112</v>
      </c>
      <c r="T17" s="5" t="s">
        <v>75</v>
      </c>
      <c r="V17" s="31">
        <v>3295</v>
      </c>
      <c r="Y17" s="31">
        <f>6159/2</f>
        <v>3079.5</v>
      </c>
      <c r="AD17" s="31">
        <v>2601.9499999999998</v>
      </c>
    </row>
    <row r="18" spans="1:37">
      <c r="A18" s="23">
        <v>40369</v>
      </c>
      <c r="B18" s="24">
        <v>2601.9499999999998</v>
      </c>
      <c r="C18" s="25">
        <f t="shared" si="0"/>
        <v>130.0975</v>
      </c>
      <c r="D18" s="26">
        <f t="shared" si="1"/>
        <v>130.0975</v>
      </c>
      <c r="E18" s="27">
        <v>0</v>
      </c>
      <c r="I18" s="45"/>
      <c r="J18" s="45"/>
      <c r="K18" s="45"/>
      <c r="L18" s="45"/>
      <c r="P18" s="14">
        <f t="shared" si="2"/>
        <v>25220.362375000001</v>
      </c>
      <c r="Q18" s="23">
        <v>40599</v>
      </c>
      <c r="S18" s="31">
        <v>0</v>
      </c>
      <c r="T18" s="5" t="s">
        <v>62</v>
      </c>
      <c r="V18" s="31">
        <f>-V17*0.1</f>
        <v>-329.5</v>
      </c>
      <c r="W18" s="5" t="s">
        <v>86</v>
      </c>
      <c r="Y18" s="31">
        <f>-Y17*0.1</f>
        <v>-307.95000000000005</v>
      </c>
      <c r="Z18" s="5" t="s">
        <v>86</v>
      </c>
      <c r="AB18" s="5">
        <v>260.2</v>
      </c>
      <c r="AD18" s="31">
        <f>-AD17*0.1</f>
        <v>-260.19499999999999</v>
      </c>
      <c r="AE18" s="5" t="s">
        <v>52</v>
      </c>
    </row>
    <row r="19" spans="1:37">
      <c r="A19" s="23">
        <v>40384</v>
      </c>
      <c r="B19" s="24">
        <v>2601.9499999999998</v>
      </c>
      <c r="C19" s="25">
        <f t="shared" si="0"/>
        <v>130.0975</v>
      </c>
      <c r="D19" s="26">
        <f t="shared" si="1"/>
        <v>130.0975</v>
      </c>
      <c r="E19" s="27">
        <v>1800</v>
      </c>
      <c r="I19" s="49"/>
      <c r="P19" s="14">
        <f t="shared" si="2"/>
        <v>25220.362375000001</v>
      </c>
      <c r="Q19" s="23">
        <v>40612</v>
      </c>
      <c r="S19" s="31">
        <v>23.84</v>
      </c>
      <c r="T19" s="5" t="s">
        <v>73</v>
      </c>
      <c r="V19" s="31">
        <v>-112</v>
      </c>
      <c r="W19" s="5" t="s">
        <v>85</v>
      </c>
      <c r="Y19" s="31">
        <v>-112</v>
      </c>
      <c r="Z19" s="5" t="s">
        <v>85</v>
      </c>
      <c r="AB19" s="5">
        <v>15.5</v>
      </c>
      <c r="AD19" s="31">
        <v>-15.5</v>
      </c>
      <c r="AE19" s="5" t="s">
        <v>64</v>
      </c>
    </row>
    <row r="20" spans="1:37">
      <c r="A20" s="23">
        <v>40400</v>
      </c>
      <c r="B20" s="24">
        <v>2601.9499999999998</v>
      </c>
      <c r="C20" s="25">
        <f t="shared" si="0"/>
        <v>130.0975</v>
      </c>
      <c r="D20" s="26">
        <f t="shared" si="1"/>
        <v>130.0975</v>
      </c>
      <c r="E20" s="27">
        <v>1800</v>
      </c>
      <c r="F20" s="50"/>
      <c r="G20" s="45"/>
      <c r="H20" s="45"/>
      <c r="P20" s="14">
        <f t="shared" si="2"/>
        <v>25220.362375000001</v>
      </c>
      <c r="Q20" s="23">
        <v>40627</v>
      </c>
      <c r="S20" s="31">
        <v>199.63</v>
      </c>
      <c r="T20" s="5" t="s">
        <v>54</v>
      </c>
      <c r="V20" s="31">
        <v>-23.84</v>
      </c>
      <c r="W20" s="5" t="s">
        <v>73</v>
      </c>
      <c r="Y20" s="31">
        <v>-23.84</v>
      </c>
      <c r="Z20" s="5" t="s">
        <v>73</v>
      </c>
      <c r="AB20" s="5">
        <v>100</v>
      </c>
      <c r="AD20" s="31">
        <v>-100</v>
      </c>
      <c r="AE20" s="5" t="s">
        <v>63</v>
      </c>
    </row>
    <row r="21" spans="1:37">
      <c r="A21" s="23">
        <v>40415</v>
      </c>
      <c r="B21" s="24">
        <v>2601.9499999999998</v>
      </c>
      <c r="C21" s="25">
        <f t="shared" si="0"/>
        <v>130.0975</v>
      </c>
      <c r="D21" s="26">
        <f t="shared" si="1"/>
        <v>130.0975</v>
      </c>
      <c r="E21" s="27">
        <v>1800</v>
      </c>
      <c r="F21" s="50"/>
      <c r="G21" s="51"/>
      <c r="H21" s="45"/>
      <c r="I21" s="52" t="s">
        <v>32</v>
      </c>
      <c r="P21" s="14">
        <f t="shared" si="2"/>
        <v>25220.362375000001</v>
      </c>
      <c r="Q21" s="23">
        <v>40643</v>
      </c>
      <c r="S21" s="31">
        <v>179.04</v>
      </c>
      <c r="T21" s="5" t="s">
        <v>68</v>
      </c>
      <c r="V21" s="31">
        <v>-20.73</v>
      </c>
      <c r="W21" s="5" t="s">
        <v>74</v>
      </c>
      <c r="Y21" s="31">
        <v>-20.73</v>
      </c>
      <c r="Z21" s="5" t="s">
        <v>74</v>
      </c>
      <c r="AB21" s="5">
        <v>270</v>
      </c>
      <c r="AD21" s="31">
        <v>0</v>
      </c>
      <c r="AE21" s="5" t="s">
        <v>53</v>
      </c>
      <c r="AK21" s="5">
        <f>187.39+94+208.33</f>
        <v>489.72</v>
      </c>
    </row>
    <row r="22" spans="1:37">
      <c r="A22" s="23">
        <v>40066</v>
      </c>
      <c r="B22" s="24">
        <v>2601.9499999999998</v>
      </c>
      <c r="C22" s="25">
        <f t="shared" si="0"/>
        <v>130.0975</v>
      </c>
      <c r="D22" s="26">
        <f t="shared" si="1"/>
        <v>130.0975</v>
      </c>
      <c r="E22" s="27">
        <v>1800</v>
      </c>
      <c r="F22" s="53" t="s">
        <v>33</v>
      </c>
      <c r="G22" s="53" t="s">
        <v>34</v>
      </c>
      <c r="H22" s="53" t="s">
        <v>35</v>
      </c>
      <c r="I22" s="52" t="s">
        <v>32</v>
      </c>
      <c r="P22" s="14">
        <f t="shared" si="2"/>
        <v>25220.362375000001</v>
      </c>
      <c r="Q22" s="23">
        <v>40658</v>
      </c>
      <c r="S22" s="31">
        <v>7.8</v>
      </c>
      <c r="T22" s="5" t="s">
        <v>55</v>
      </c>
      <c r="V22" s="31">
        <f>-(V17+V19+V20)*0.062</f>
        <v>-195.86792</v>
      </c>
      <c r="W22" s="5" t="s">
        <v>54</v>
      </c>
      <c r="Y22" s="31">
        <f>-(Y17+Y19+Y20)*0.062</f>
        <v>-182.50691999999998</v>
      </c>
      <c r="Z22" s="5" t="s">
        <v>54</v>
      </c>
      <c r="AB22" s="5">
        <f>SUM(AB18:AB21)</f>
        <v>645.70000000000005</v>
      </c>
      <c r="AD22" s="31">
        <f>-(AD17+AD19+AD20)*0.062</f>
        <v>-154.15989999999999</v>
      </c>
      <c r="AE22" s="5" t="s">
        <v>54</v>
      </c>
    </row>
    <row r="23" spans="1:37">
      <c r="A23" s="23">
        <v>40081</v>
      </c>
      <c r="B23" s="24">
        <v>2601.9499999999998</v>
      </c>
      <c r="C23" s="25">
        <f t="shared" si="0"/>
        <v>130.0975</v>
      </c>
      <c r="D23" s="26">
        <f t="shared" si="1"/>
        <v>130.0975</v>
      </c>
      <c r="E23" s="27">
        <v>1800</v>
      </c>
      <c r="F23" s="53" t="s">
        <v>16</v>
      </c>
      <c r="G23" s="53" t="s">
        <v>36</v>
      </c>
      <c r="H23" s="53" t="s">
        <v>16</v>
      </c>
      <c r="P23" s="14">
        <f t="shared" si="2"/>
        <v>25220.362375000001</v>
      </c>
      <c r="Q23" s="23">
        <v>40673</v>
      </c>
      <c r="S23" s="31">
        <v>8.2899999999999991</v>
      </c>
      <c r="T23" s="5" t="s">
        <v>103</v>
      </c>
      <c r="V23" s="31">
        <v>-264.36</v>
      </c>
      <c r="W23" s="5" t="s">
        <v>68</v>
      </c>
      <c r="Y23" s="31">
        <v>-260</v>
      </c>
      <c r="Z23" s="5" t="s">
        <v>68</v>
      </c>
      <c r="AD23" s="31">
        <v>-209.83</v>
      </c>
      <c r="AE23" s="5" t="s">
        <v>68</v>
      </c>
    </row>
    <row r="24" spans="1:37">
      <c r="A24" s="23">
        <v>40096</v>
      </c>
      <c r="B24" s="24">
        <v>2601.9499999999998</v>
      </c>
      <c r="C24" s="25">
        <f t="shared" si="0"/>
        <v>130.0975</v>
      </c>
      <c r="D24" s="26">
        <f t="shared" si="1"/>
        <v>130.0975</v>
      </c>
      <c r="E24" s="27">
        <v>1800</v>
      </c>
      <c r="F24" s="53" t="s">
        <v>37</v>
      </c>
      <c r="G24" s="53" t="s">
        <v>38</v>
      </c>
      <c r="H24" s="53" t="s">
        <v>39</v>
      </c>
      <c r="I24" s="207"/>
      <c r="J24" s="207"/>
      <c r="K24" s="207"/>
      <c r="P24" s="14">
        <f t="shared" si="2"/>
        <v>25220.362375000001</v>
      </c>
      <c r="Q24" s="23">
        <v>40688</v>
      </c>
      <c r="S24" s="31">
        <v>0</v>
      </c>
      <c r="T24" s="5" t="s">
        <v>57</v>
      </c>
      <c r="V24" s="31">
        <v>-7.09</v>
      </c>
      <c r="W24" s="5" t="s">
        <v>55</v>
      </c>
      <c r="Y24" s="31">
        <v>-7.09</v>
      </c>
      <c r="Z24" s="5" t="s">
        <v>55</v>
      </c>
      <c r="AD24" s="31">
        <v>-7.74</v>
      </c>
      <c r="AE24" s="5" t="s">
        <v>55</v>
      </c>
    </row>
    <row r="25" spans="1:37">
      <c r="A25" s="23">
        <v>40111</v>
      </c>
      <c r="B25" s="24">
        <v>2601.9499999999998</v>
      </c>
      <c r="C25" s="25">
        <f t="shared" si="0"/>
        <v>130.0975</v>
      </c>
      <c r="D25" s="26">
        <f t="shared" si="1"/>
        <v>130.0975</v>
      </c>
      <c r="E25" s="27">
        <v>1800</v>
      </c>
      <c r="F25" s="54"/>
      <c r="G25" s="55"/>
      <c r="H25" s="54"/>
      <c r="I25" s="207"/>
      <c r="J25" s="207"/>
      <c r="K25" s="207"/>
      <c r="P25" s="14">
        <f t="shared" si="2"/>
        <v>25220.362375000001</v>
      </c>
      <c r="Q25" s="23">
        <v>40704</v>
      </c>
      <c r="S25" s="31">
        <v>0</v>
      </c>
      <c r="T25" s="5" t="s">
        <v>57</v>
      </c>
      <c r="V25" s="31">
        <v>-40.65</v>
      </c>
      <c r="W25" s="5" t="s">
        <v>56</v>
      </c>
      <c r="Y25" s="31">
        <v>-40.65</v>
      </c>
      <c r="Z25" s="5" t="s">
        <v>56</v>
      </c>
      <c r="AD25" s="31">
        <v>0</v>
      </c>
      <c r="AE25" s="5" t="s">
        <v>56</v>
      </c>
    </row>
    <row r="26" spans="1:37">
      <c r="A26" s="23">
        <v>40127</v>
      </c>
      <c r="B26" s="24">
        <v>2601.9499999999998</v>
      </c>
      <c r="C26" s="25">
        <f t="shared" si="0"/>
        <v>130.0975</v>
      </c>
      <c r="D26" s="26">
        <f t="shared" si="1"/>
        <v>130.0975</v>
      </c>
      <c r="E26" s="27">
        <v>1800</v>
      </c>
      <c r="F26" s="50"/>
      <c r="G26" s="45"/>
      <c r="H26" s="45"/>
      <c r="P26" s="14">
        <f t="shared" si="2"/>
        <v>25220.362375000001</v>
      </c>
      <c r="Q26" s="23">
        <v>40719</v>
      </c>
      <c r="S26" s="31">
        <v>46.69</v>
      </c>
      <c r="T26" s="5" t="s">
        <v>59</v>
      </c>
      <c r="V26" s="31">
        <f>-(82.2+41.1+2.37+2.37)</f>
        <v>-128.04000000000002</v>
      </c>
      <c r="W26" s="5" t="s">
        <v>57</v>
      </c>
      <c r="Y26" s="31">
        <f>-(82.2+41.1+2.37+2.37)</f>
        <v>-128.04000000000002</v>
      </c>
      <c r="Z26" s="5" t="s">
        <v>57</v>
      </c>
      <c r="AD26" s="31">
        <v>0</v>
      </c>
      <c r="AE26" s="5" t="s">
        <v>57</v>
      </c>
    </row>
    <row r="27" spans="1:37" ht="15" customHeight="1">
      <c r="A27" s="23">
        <v>40142</v>
      </c>
      <c r="B27" s="24">
        <v>2601.9499999999998</v>
      </c>
      <c r="C27" s="25">
        <f t="shared" si="0"/>
        <v>130.0975</v>
      </c>
      <c r="D27" s="26">
        <f t="shared" si="1"/>
        <v>130.0975</v>
      </c>
      <c r="E27" s="27">
        <v>1800</v>
      </c>
      <c r="F27" s="56" t="s">
        <v>33</v>
      </c>
      <c r="G27" s="56" t="s">
        <v>34</v>
      </c>
      <c r="H27" s="56" t="s">
        <v>35</v>
      </c>
      <c r="P27" s="14">
        <f t="shared" si="2"/>
        <v>25220.362375000001</v>
      </c>
      <c r="Q27" s="23">
        <v>40369</v>
      </c>
      <c r="S27" s="31">
        <v>1000</v>
      </c>
      <c r="T27" s="5" t="s">
        <v>53</v>
      </c>
      <c r="V27" s="31">
        <v>-86.45</v>
      </c>
      <c r="W27" s="5" t="s">
        <v>104</v>
      </c>
      <c r="Y27" s="31">
        <v>-86.45</v>
      </c>
      <c r="Z27" s="5" t="s">
        <v>104</v>
      </c>
      <c r="AD27" s="31">
        <v>0</v>
      </c>
      <c r="AE27" s="5" t="s">
        <v>58</v>
      </c>
    </row>
    <row r="28" spans="1:37">
      <c r="A28" s="23">
        <v>40157</v>
      </c>
      <c r="B28" s="24">
        <v>2601.9499999999998</v>
      </c>
      <c r="C28" s="25">
        <f t="shared" si="0"/>
        <v>130.0975</v>
      </c>
      <c r="D28" s="26">
        <f t="shared" si="1"/>
        <v>130.0975</v>
      </c>
      <c r="E28" s="27">
        <v>1800</v>
      </c>
      <c r="F28" s="56" t="s">
        <v>16</v>
      </c>
      <c r="G28" s="56" t="s">
        <v>40</v>
      </c>
      <c r="H28" s="56" t="s">
        <v>16</v>
      </c>
      <c r="I28" s="45"/>
      <c r="J28" s="45"/>
      <c r="K28" s="45"/>
      <c r="L28" s="45"/>
      <c r="M28" s="48"/>
      <c r="N28" s="45"/>
      <c r="O28" s="46"/>
      <c r="P28" s="14">
        <f t="shared" si="2"/>
        <v>23420.362375000001</v>
      </c>
      <c r="Q28" s="23">
        <v>40384</v>
      </c>
      <c r="S28" s="31">
        <f>S15-S16-S20-S21-S26-S27-S17-S18-S19-S22--S23-S24-S25</f>
        <v>1405.2399999999998</v>
      </c>
      <c r="V28" s="31">
        <f>-(V17+V19+V20)*0.0145</f>
        <v>-45.80782</v>
      </c>
      <c r="W28" s="5" t="s">
        <v>59</v>
      </c>
      <c r="Y28" s="31">
        <f>-(Y17+Y19+Y20)*0.0145</f>
        <v>-42.683070000000001</v>
      </c>
      <c r="Z28" s="5" t="s">
        <v>59</v>
      </c>
      <c r="AD28" s="31">
        <f>-(AD17+AD19+AD20)*0.0145</f>
        <v>-36.053525</v>
      </c>
      <c r="AE28" s="5" t="s">
        <v>59</v>
      </c>
    </row>
    <row r="29" spans="1:37" ht="13.5" thickBot="1">
      <c r="A29" s="23">
        <v>39441</v>
      </c>
      <c r="B29" s="24">
        <v>2601.9499999999998</v>
      </c>
      <c r="C29" s="25">
        <f t="shared" si="0"/>
        <v>130.0975</v>
      </c>
      <c r="D29" s="26">
        <f t="shared" si="1"/>
        <v>130.0975</v>
      </c>
      <c r="E29" s="27">
        <v>1800</v>
      </c>
      <c r="F29" s="56" t="s">
        <v>37</v>
      </c>
      <c r="G29" s="56" t="s">
        <v>38</v>
      </c>
      <c r="H29" s="56" t="s">
        <v>39</v>
      </c>
      <c r="I29" s="57"/>
      <c r="J29" s="57"/>
      <c r="K29" s="57"/>
      <c r="L29" s="57"/>
      <c r="P29" s="14">
        <f t="shared" si="2"/>
        <v>21620.362375000001</v>
      </c>
      <c r="Q29" s="23">
        <v>40400</v>
      </c>
      <c r="V29" s="31">
        <v>0</v>
      </c>
      <c r="W29" s="5" t="s">
        <v>62</v>
      </c>
      <c r="Y29" s="31">
        <v>0</v>
      </c>
      <c r="Z29" s="5" t="s">
        <v>62</v>
      </c>
      <c r="AB29" s="5">
        <f>1800*0.85</f>
        <v>1530</v>
      </c>
      <c r="AD29" s="31">
        <v>-1800</v>
      </c>
      <c r="AE29" s="5" t="s">
        <v>62</v>
      </c>
    </row>
    <row r="30" spans="1:37">
      <c r="A30" s="58" t="s">
        <v>33</v>
      </c>
      <c r="B30" s="59">
        <f>SUM(B6:B29)</f>
        <v>62371.009999999973</v>
      </c>
      <c r="C30" s="59">
        <f>SUM(C6:C29)</f>
        <v>3118.5504999999994</v>
      </c>
      <c r="D30" s="60">
        <f>C30</f>
        <v>3118.5504999999994</v>
      </c>
      <c r="E30" s="59">
        <f>SUM(E6:E29)</f>
        <v>19800</v>
      </c>
      <c r="F30" s="61" t="e">
        <f>SUM(#REF!)</f>
        <v>#REF!</v>
      </c>
      <c r="G30" s="62">
        <v>49000</v>
      </c>
      <c r="H30" s="61" t="e">
        <f>G30-F30</f>
        <v>#REF!</v>
      </c>
      <c r="I30" s="57"/>
      <c r="J30" s="57"/>
      <c r="K30" s="57"/>
      <c r="L30" s="57"/>
      <c r="P30" s="14">
        <f t="shared" si="2"/>
        <v>19820.362375000001</v>
      </c>
      <c r="Q30" s="23">
        <v>40415</v>
      </c>
      <c r="S30" s="31">
        <f>S16+S17+S27</f>
        <v>1441.55</v>
      </c>
      <c r="V30" s="31">
        <f>SUM(V17:V29)</f>
        <v>2040.6642599999996</v>
      </c>
      <c r="Y30" s="31">
        <f>SUM(Y17:Y29)</f>
        <v>1867.5600099999999</v>
      </c>
      <c r="AB30" s="5">
        <f>1800*0.15</f>
        <v>270</v>
      </c>
      <c r="AD30" s="31">
        <f>SUM(AD17:AD29)</f>
        <v>18.471574999999575</v>
      </c>
    </row>
    <row r="31" spans="1:37" ht="13.5" thickBot="1">
      <c r="A31" s="63" t="s">
        <v>41</v>
      </c>
      <c r="B31" s="64">
        <f>B30*0.25</f>
        <v>15592.752499999993</v>
      </c>
      <c r="C31" s="64">
        <f>SUM(C6:C29)*0.25</f>
        <v>779.63762499999984</v>
      </c>
      <c r="D31" s="64">
        <v>0</v>
      </c>
      <c r="E31" s="65">
        <v>0</v>
      </c>
      <c r="F31" s="66" t="e">
        <f>SUM(#REF!)</f>
        <v>#REF!</v>
      </c>
      <c r="G31" s="67">
        <v>22000</v>
      </c>
      <c r="H31" s="66" t="e">
        <f>G31-F31</f>
        <v>#REF!</v>
      </c>
      <c r="I31" s="57"/>
      <c r="J31" s="57"/>
      <c r="K31" s="57"/>
      <c r="L31" s="57"/>
      <c r="P31" s="14">
        <f t="shared" si="2"/>
        <v>18020.362375000001</v>
      </c>
      <c r="Q31" s="23">
        <v>40066</v>
      </c>
    </row>
    <row r="32" spans="1:37">
      <c r="E32" s="45"/>
      <c r="F32" s="57"/>
      <c r="G32" s="57"/>
      <c r="H32" s="57"/>
      <c r="I32" s="57"/>
      <c r="J32" s="57"/>
      <c r="K32" s="57"/>
      <c r="L32" s="57"/>
      <c r="P32" s="14">
        <f t="shared" si="2"/>
        <v>16220.362375000001</v>
      </c>
      <c r="Q32" s="23">
        <v>40081</v>
      </c>
    </row>
    <row r="33" spans="2:25">
      <c r="E33" s="68"/>
      <c r="F33" s="57"/>
      <c r="G33" s="57"/>
      <c r="H33" s="57"/>
      <c r="I33" s="57"/>
      <c r="J33" s="57"/>
      <c r="K33" s="57"/>
      <c r="L33" s="57"/>
      <c r="P33" s="14">
        <f t="shared" si="2"/>
        <v>14420.362375000001</v>
      </c>
      <c r="Q33" s="23">
        <v>40096</v>
      </c>
    </row>
    <row r="34" spans="2:25">
      <c r="C34" s="31"/>
      <c r="E34" s="108" t="s">
        <v>61</v>
      </c>
      <c r="F34" s="57"/>
      <c r="G34" s="57"/>
      <c r="H34" s="57"/>
      <c r="I34" s="57"/>
      <c r="J34" s="57"/>
      <c r="K34" s="57"/>
      <c r="L34" s="57"/>
      <c r="P34" s="14">
        <f t="shared" si="2"/>
        <v>12620.362375000001</v>
      </c>
      <c r="Q34" s="23">
        <v>40111</v>
      </c>
      <c r="S34" s="110" t="s">
        <v>76</v>
      </c>
      <c r="T34" s="110"/>
    </row>
    <row r="35" spans="2:25">
      <c r="C35" s="31"/>
      <c r="E35" s="5" t="s">
        <v>69</v>
      </c>
      <c r="F35" s="57"/>
      <c r="G35" s="57"/>
      <c r="H35" s="57"/>
      <c r="I35" s="57"/>
      <c r="J35" s="57"/>
      <c r="K35" s="57"/>
      <c r="L35" s="57"/>
      <c r="P35" s="14">
        <f t="shared" si="2"/>
        <v>10820.362375000001</v>
      </c>
      <c r="Q35" s="23">
        <v>40127</v>
      </c>
    </row>
    <row r="36" spans="2:25">
      <c r="C36" s="31"/>
      <c r="F36" s="70"/>
      <c r="G36" s="57"/>
      <c r="H36" s="57"/>
      <c r="I36" s="57"/>
      <c r="J36" s="57"/>
      <c r="K36" s="57"/>
      <c r="L36" s="57"/>
      <c r="P36" s="14">
        <f t="shared" si="2"/>
        <v>9020.3623750000006</v>
      </c>
      <c r="Q36" s="23">
        <v>40142</v>
      </c>
      <c r="V36" s="36"/>
      <c r="W36" s="36"/>
      <c r="X36" s="5" t="s">
        <v>92</v>
      </c>
    </row>
    <row r="37" spans="2:25">
      <c r="C37" s="31"/>
      <c r="F37" s="57"/>
      <c r="G37" s="57"/>
      <c r="H37" s="57"/>
      <c r="I37" s="57"/>
      <c r="J37" s="57"/>
      <c r="K37" s="57"/>
      <c r="L37" s="57"/>
      <c r="P37" s="14">
        <f t="shared" si="2"/>
        <v>7220.3623750000006</v>
      </c>
      <c r="Q37" s="23">
        <v>40157</v>
      </c>
      <c r="X37" s="16" t="s">
        <v>91</v>
      </c>
    </row>
    <row r="38" spans="2:25" ht="15.75" thickBot="1">
      <c r="C38" s="31"/>
      <c r="F38" s="57"/>
      <c r="G38" s="57"/>
      <c r="H38" s="57"/>
      <c r="I38" s="57"/>
      <c r="J38" s="57"/>
      <c r="K38" s="57"/>
      <c r="L38" s="57"/>
      <c r="M38" s="5" t="s">
        <v>42</v>
      </c>
      <c r="P38" s="19">
        <f t="shared" si="2"/>
        <v>5420.3623750000006</v>
      </c>
      <c r="Q38" s="71">
        <v>39441</v>
      </c>
      <c r="S38" s="31"/>
      <c r="X38" s="115" t="s">
        <v>89</v>
      </c>
    </row>
    <row r="39" spans="2:25" ht="15">
      <c r="F39" s="57"/>
      <c r="G39" s="57"/>
      <c r="H39" s="57"/>
      <c r="I39" s="57"/>
      <c r="J39" s="57"/>
      <c r="K39" s="57"/>
      <c r="L39" s="57"/>
      <c r="S39" s="31">
        <v>22500</v>
      </c>
      <c r="X39" s="115" t="s">
        <v>90</v>
      </c>
    </row>
    <row r="40" spans="2:25" ht="15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S40" s="31">
        <v>0</v>
      </c>
      <c r="T40" s="5" t="s">
        <v>81</v>
      </c>
      <c r="W40" s="31"/>
      <c r="X40" s="115"/>
    </row>
    <row r="41" spans="2:25" ht="15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S41" s="31">
        <v>0</v>
      </c>
      <c r="T41" s="5" t="s">
        <v>64</v>
      </c>
      <c r="X41" s="115"/>
    </row>
    <row r="42" spans="2:25" ht="15">
      <c r="B42" s="72"/>
      <c r="C42" s="57"/>
      <c r="D42" s="57"/>
      <c r="E42" s="57"/>
      <c r="F42" s="57"/>
      <c r="G42" s="57"/>
      <c r="H42" s="57"/>
      <c r="S42" s="31">
        <v>0</v>
      </c>
      <c r="T42" s="5" t="s">
        <v>77</v>
      </c>
      <c r="X42" s="115"/>
    </row>
    <row r="43" spans="2:25">
      <c r="B43" s="57"/>
      <c r="C43" s="70"/>
      <c r="D43" s="70"/>
      <c r="E43" s="57"/>
      <c r="S43" s="31">
        <v>-7870</v>
      </c>
      <c r="T43" s="5" t="s">
        <v>53</v>
      </c>
      <c r="X43" s="16"/>
    </row>
    <row r="44" spans="2:25">
      <c r="S44" s="31">
        <f>-(S39+S41+S42)*0.062</f>
        <v>-1395</v>
      </c>
      <c r="T44" s="5" t="s">
        <v>54</v>
      </c>
      <c r="X44" s="31">
        <v>35000</v>
      </c>
    </row>
    <row r="45" spans="2:25">
      <c r="C45" s="31"/>
      <c r="S45" s="31">
        <v>0</v>
      </c>
      <c r="T45" s="5" t="s">
        <v>68</v>
      </c>
      <c r="X45" s="31">
        <v>0</v>
      </c>
      <c r="Y45" s="5" t="s">
        <v>84</v>
      </c>
    </row>
    <row r="46" spans="2:25">
      <c r="S46" s="31">
        <v>0</v>
      </c>
      <c r="T46" s="5" t="s">
        <v>55</v>
      </c>
      <c r="X46" s="31">
        <v>0</v>
      </c>
      <c r="Y46" s="5" t="s">
        <v>75</v>
      </c>
    </row>
    <row r="47" spans="2:25">
      <c r="S47" s="31">
        <v>0</v>
      </c>
      <c r="T47" s="5" t="s">
        <v>56</v>
      </c>
      <c r="X47" s="31">
        <v>0</v>
      </c>
      <c r="Y47" s="5" t="s">
        <v>77</v>
      </c>
    </row>
    <row r="48" spans="2:25">
      <c r="S48" s="31">
        <v>0</v>
      </c>
      <c r="T48" s="5" t="s">
        <v>57</v>
      </c>
      <c r="X48" s="31">
        <v>-7415</v>
      </c>
      <c r="Y48" s="5" t="s">
        <v>53</v>
      </c>
    </row>
    <row r="49" spans="19:25">
      <c r="S49" s="31">
        <v>0</v>
      </c>
      <c r="T49" s="5" t="s">
        <v>57</v>
      </c>
      <c r="X49" s="31">
        <f>-(X44+X46+X47)*0.062</f>
        <v>-2170</v>
      </c>
      <c r="Y49" s="5" t="s">
        <v>54</v>
      </c>
    </row>
    <row r="50" spans="19:25">
      <c r="S50" s="31">
        <f>-(S39+S41+S42)*0.0145</f>
        <v>-326.25</v>
      </c>
      <c r="T50" s="5" t="s">
        <v>59</v>
      </c>
      <c r="X50" s="31">
        <f>-(X44+X56+X48)*0.25</f>
        <v>-896.25</v>
      </c>
      <c r="Y50" s="5" t="s">
        <v>68</v>
      </c>
    </row>
    <row r="51" spans="19:25">
      <c r="S51" s="31">
        <v>-12900</v>
      </c>
      <c r="T51" s="5" t="s">
        <v>62</v>
      </c>
      <c r="X51" s="31">
        <v>0</v>
      </c>
      <c r="Y51" s="5" t="s">
        <v>55</v>
      </c>
    </row>
    <row r="52" spans="19:25">
      <c r="S52" s="31">
        <f>SUM(S39:S51)</f>
        <v>8.75</v>
      </c>
      <c r="X52" s="31">
        <v>0</v>
      </c>
      <c r="Y52" s="5" t="s">
        <v>56</v>
      </c>
    </row>
    <row r="53" spans="19:25">
      <c r="X53" s="31">
        <v>0</v>
      </c>
      <c r="Y53" s="5" t="s">
        <v>57</v>
      </c>
    </row>
    <row r="54" spans="19:25">
      <c r="X54" s="31">
        <v>0</v>
      </c>
      <c r="Y54" s="5" t="s">
        <v>57</v>
      </c>
    </row>
    <row r="55" spans="19:25">
      <c r="X55" s="31">
        <f>-(X44+X46+X47)*0.0145</f>
        <v>-507.5</v>
      </c>
      <c r="Y55" s="5" t="s">
        <v>59</v>
      </c>
    </row>
    <row r="56" spans="19:25">
      <c r="S56" s="31"/>
      <c r="X56" s="31">
        <v>-24000</v>
      </c>
      <c r="Y56" s="5" t="s">
        <v>62</v>
      </c>
    </row>
    <row r="57" spans="19:25">
      <c r="S57" s="31">
        <v>11264</v>
      </c>
      <c r="X57" s="31">
        <f>SUM(X44:X56)</f>
        <v>11.25</v>
      </c>
    </row>
    <row r="58" spans="19:25">
      <c r="S58" s="31">
        <v>0</v>
      </c>
      <c r="T58" s="5" t="s">
        <v>81</v>
      </c>
    </row>
    <row r="59" spans="19:25">
      <c r="S59" s="31">
        <v>0</v>
      </c>
      <c r="T59" s="5" t="s">
        <v>64</v>
      </c>
      <c r="W59" s="5">
        <f>12900+10390</f>
        <v>23290</v>
      </c>
    </row>
    <row r="60" spans="19:25">
      <c r="S60" s="31">
        <v>0</v>
      </c>
      <c r="T60" s="5" t="s">
        <v>77</v>
      </c>
    </row>
    <row r="61" spans="19:25">
      <c r="S61" s="31">
        <v>0</v>
      </c>
      <c r="T61" s="5" t="s">
        <v>53</v>
      </c>
    </row>
    <row r="62" spans="19:25">
      <c r="S62" s="31">
        <f>-(S57+S59+S60)*0.062</f>
        <v>-698.36799999999994</v>
      </c>
      <c r="T62" s="5" t="s">
        <v>54</v>
      </c>
    </row>
    <row r="63" spans="19:25">
      <c r="S63" s="31">
        <v>0</v>
      </c>
      <c r="T63" s="5" t="s">
        <v>68</v>
      </c>
      <c r="X63" s="110" t="s">
        <v>76</v>
      </c>
      <c r="Y63" s="110"/>
    </row>
    <row r="64" spans="19:25">
      <c r="S64" s="31">
        <v>0</v>
      </c>
      <c r="T64" s="5" t="s">
        <v>55</v>
      </c>
    </row>
    <row r="65" spans="19:24">
      <c r="S65" s="31">
        <v>0</v>
      </c>
      <c r="T65" s="5" t="s">
        <v>56</v>
      </c>
      <c r="X65" s="89" t="s">
        <v>32</v>
      </c>
    </row>
    <row r="66" spans="19:24">
      <c r="S66" s="31">
        <v>0</v>
      </c>
      <c r="T66" s="5" t="s">
        <v>57</v>
      </c>
    </row>
    <row r="67" spans="19:24">
      <c r="S67" s="31">
        <v>0</v>
      </c>
      <c r="T67" s="5" t="s">
        <v>57</v>
      </c>
    </row>
    <row r="68" spans="19:24">
      <c r="S68" s="31">
        <f>-(S57+S59+S60)*0.0145</f>
        <v>-163.328</v>
      </c>
      <c r="T68" s="5" t="s">
        <v>59</v>
      </c>
    </row>
    <row r="69" spans="19:24">
      <c r="S69" s="31">
        <v>-10390</v>
      </c>
      <c r="T69" s="5" t="s">
        <v>62</v>
      </c>
    </row>
    <row r="70" spans="19:24">
      <c r="S70" s="31">
        <f>SUM(S57:S69)</f>
        <v>12.304000000000087</v>
      </c>
    </row>
  </sheetData>
  <mergeCells count="7">
    <mergeCell ref="I25:K25"/>
    <mergeCell ref="B1:C1"/>
    <mergeCell ref="J1:K1"/>
    <mergeCell ref="B2:C2"/>
    <mergeCell ref="I14:K14"/>
    <mergeCell ref="I15:K15"/>
    <mergeCell ref="I24:K24"/>
  </mergeCells>
  <pageMargins left="0.45" right="0.4" top="1" bottom="0.72" header="0.5" footer="0.5"/>
  <pageSetup paperSize="14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WVS70"/>
  <sheetViews>
    <sheetView topLeftCell="E1" zoomScaleNormal="100" workbookViewId="0">
      <selection activeCell="B6" sqref="B6"/>
    </sheetView>
  </sheetViews>
  <sheetFormatPr defaultRowHeight="12.75"/>
  <cols>
    <col min="1" max="1" width="10.42578125" style="5" bestFit="1" customWidth="1"/>
    <col min="2" max="2" width="13.42578125" style="5" customWidth="1"/>
    <col min="3" max="3" width="12.42578125" style="5" customWidth="1"/>
    <col min="4" max="4" width="12.5703125" style="5" customWidth="1"/>
    <col min="5" max="6" width="13" style="5" customWidth="1"/>
    <col min="7" max="7" width="19" style="5" customWidth="1"/>
    <col min="8" max="8" width="14.7109375" style="5" customWidth="1"/>
    <col min="9" max="9" width="12.7109375" style="5" hidden="1" customWidth="1"/>
    <col min="10" max="11" width="17.7109375" style="5" hidden="1" customWidth="1"/>
    <col min="12" max="12" width="9.28515625" style="5" hidden="1" customWidth="1"/>
    <col min="13" max="16" width="11.28515625" style="5" customWidth="1"/>
    <col min="17" max="17" width="19.7109375" style="5" customWidth="1"/>
    <col min="18" max="18" width="9.28515625" style="5"/>
    <col min="19" max="19" width="13.5703125" style="5" customWidth="1"/>
    <col min="20" max="255" width="9.28515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28515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28515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28515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28515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28515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28515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28515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28515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28515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28515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28515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28515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28515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28515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28515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28515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28515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28515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28515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28515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28515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28515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28515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28515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28515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28515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28515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28515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28515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28515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28515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28515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28515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28515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28515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28515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28515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28515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28515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28515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28515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28515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28515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28515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28515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28515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28515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28515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28515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28515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28515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28515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28515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28515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28515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28515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28515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28515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28515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28515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28515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28515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28515625" style="5"/>
  </cols>
  <sheetData>
    <row r="1" spans="1:30" ht="13.5" thickBot="1">
      <c r="A1" s="1" t="s">
        <v>0</v>
      </c>
      <c r="B1" s="205" t="s">
        <v>65</v>
      </c>
      <c r="C1" s="205"/>
      <c r="D1" s="1" t="s">
        <v>1</v>
      </c>
      <c r="E1" s="2">
        <v>12</v>
      </c>
      <c r="F1" s="3" t="s">
        <v>2</v>
      </c>
      <c r="G1" s="4">
        <v>38040</v>
      </c>
      <c r="J1" s="208" t="s">
        <v>3</v>
      </c>
      <c r="K1" s="208"/>
    </row>
    <row r="2" spans="1:30">
      <c r="A2" s="1" t="s">
        <v>4</v>
      </c>
      <c r="B2" s="206">
        <v>537585840</v>
      </c>
      <c r="C2" s="206"/>
      <c r="E2" s="6"/>
      <c r="F2" s="3" t="s">
        <v>5</v>
      </c>
      <c r="G2" s="4">
        <v>19596</v>
      </c>
      <c r="I2" s="7">
        <v>2007</v>
      </c>
      <c r="J2" s="11">
        <v>2007</v>
      </c>
      <c r="K2" s="11">
        <v>2007</v>
      </c>
      <c r="M2" s="8">
        <f>(270000*0.05)*2</f>
        <v>27000</v>
      </c>
      <c r="N2" s="74" t="s">
        <v>43</v>
      </c>
      <c r="O2" s="9"/>
      <c r="P2" s="8">
        <v>19500</v>
      </c>
      <c r="Q2" s="10"/>
    </row>
    <row r="3" spans="1:30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3" t="s">
        <v>11</v>
      </c>
      <c r="G3" s="3">
        <f>G4*E1</f>
        <v>62446.680000000008</v>
      </c>
      <c r="H3" s="49"/>
      <c r="I3" s="12" t="s">
        <v>12</v>
      </c>
      <c r="J3" s="13" t="s">
        <v>13</v>
      </c>
      <c r="K3" s="13" t="s">
        <v>13</v>
      </c>
      <c r="M3" s="14">
        <f>-C30*2</f>
        <v>-6237.1009999999987</v>
      </c>
      <c r="P3" s="14">
        <v>0</v>
      </c>
      <c r="Q3" s="15" t="s">
        <v>14</v>
      </c>
      <c r="S3" s="16"/>
      <c r="V3" s="5" t="s">
        <v>87</v>
      </c>
      <c r="W3" s="5">
        <v>11264</v>
      </c>
      <c r="AA3" s="5">
        <v>24000</v>
      </c>
    </row>
    <row r="4" spans="1:30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3" t="s">
        <v>17</v>
      </c>
      <c r="G4" s="18">
        <v>5203.8900000000003</v>
      </c>
      <c r="H4" s="49"/>
      <c r="I4" s="12" t="s">
        <v>16</v>
      </c>
      <c r="J4" s="13" t="s">
        <v>18</v>
      </c>
      <c r="K4" s="13" t="s">
        <v>19</v>
      </c>
      <c r="M4" s="19">
        <f>SUM(M2:M3)</f>
        <v>20762.899000000001</v>
      </c>
      <c r="N4" s="20" t="s">
        <v>44</v>
      </c>
      <c r="O4" s="20"/>
      <c r="P4" s="14">
        <v>6500</v>
      </c>
      <c r="Q4" s="15" t="s">
        <v>20</v>
      </c>
      <c r="S4" s="16"/>
      <c r="V4" s="5" t="s">
        <v>88</v>
      </c>
      <c r="W4" s="5">
        <v>22500</v>
      </c>
      <c r="AA4" s="5">
        <v>698.35</v>
      </c>
    </row>
    <row r="5" spans="1:30">
      <c r="A5" s="21" t="s">
        <v>21</v>
      </c>
      <c r="B5" s="21" t="s">
        <v>22</v>
      </c>
      <c r="C5" s="21" t="s">
        <v>48</v>
      </c>
      <c r="D5" s="21" t="s">
        <v>24</v>
      </c>
      <c r="E5" s="21" t="s">
        <v>25</v>
      </c>
      <c r="F5" s="3" t="s">
        <v>26</v>
      </c>
      <c r="G5" s="3">
        <f>G4/2</f>
        <v>2601.9450000000002</v>
      </c>
      <c r="H5" s="49"/>
      <c r="I5" s="22" t="s">
        <v>27</v>
      </c>
      <c r="J5" s="21" t="s">
        <v>28</v>
      </c>
      <c r="K5" s="21" t="s">
        <v>28</v>
      </c>
      <c r="M5" s="31"/>
      <c r="P5" s="14">
        <f>-C31</f>
        <v>-779.63762499999984</v>
      </c>
      <c r="Q5" s="15" t="s">
        <v>29</v>
      </c>
      <c r="S5" s="43"/>
      <c r="W5" s="5">
        <f>SUM(W3:W4)</f>
        <v>33764</v>
      </c>
      <c r="AA5" s="5">
        <f>AA3-AA4</f>
        <v>23301.65</v>
      </c>
    </row>
    <row r="6" spans="1:30" ht="13.5" thickBot="1">
      <c r="A6" s="23">
        <v>40553</v>
      </c>
      <c r="B6" s="24">
        <f>5052.32/2</f>
        <v>2526.16</v>
      </c>
      <c r="C6" s="25">
        <f>B6*0.05</f>
        <v>126.30799999999999</v>
      </c>
      <c r="D6" s="26">
        <f>C6</f>
        <v>126.30799999999999</v>
      </c>
      <c r="E6" s="27">
        <v>0</v>
      </c>
      <c r="G6" s="16"/>
      <c r="H6" s="28"/>
      <c r="I6" s="29" t="e">
        <f>IF(#REF!/5&gt;$E$6,E6,(#REF!/5))</f>
        <v>#REF!</v>
      </c>
      <c r="J6" s="30" t="e">
        <f>#REF!/5</f>
        <v>#REF!</v>
      </c>
      <c r="K6" s="30" t="e">
        <f>#REF!/5 +E6</f>
        <v>#REF!</v>
      </c>
      <c r="M6" s="76"/>
      <c r="N6" s="77"/>
      <c r="O6" s="77"/>
      <c r="P6" s="19">
        <f>SUM(P2:P5)</f>
        <v>25220.362375000001</v>
      </c>
      <c r="Q6" s="32" t="s">
        <v>93</v>
      </c>
      <c r="S6" s="41"/>
      <c r="AA6" s="5">
        <v>24000</v>
      </c>
    </row>
    <row r="7" spans="1:30" ht="13.5" thickBot="1">
      <c r="A7" s="23">
        <v>40568</v>
      </c>
      <c r="B7" s="24">
        <v>2601.9499999999998</v>
      </c>
      <c r="C7" s="25">
        <f t="shared" ref="C7:C29" si="0">B7*0.05</f>
        <v>130.0975</v>
      </c>
      <c r="D7" s="26">
        <f t="shared" ref="D7:D29" si="1">C7</f>
        <v>130.0975</v>
      </c>
      <c r="E7" s="27">
        <v>0</v>
      </c>
      <c r="G7" s="16"/>
      <c r="H7" s="28"/>
      <c r="I7" s="29" t="e">
        <f>IF(#REF!/5&gt;$E$6,#REF!,(#REF!/5))</f>
        <v>#REF!</v>
      </c>
      <c r="J7" s="30" t="e">
        <f>#REF!/5</f>
        <v>#REF!</v>
      </c>
      <c r="K7" s="30" t="e">
        <f>#REF!/5 +#REF!</f>
        <v>#REF!</v>
      </c>
      <c r="M7" s="76"/>
      <c r="N7" s="77"/>
      <c r="O7" s="77"/>
      <c r="P7" s="78" t="s">
        <v>45</v>
      </c>
      <c r="Q7" s="79"/>
      <c r="T7" s="5">
        <f>33764*0.0145</f>
        <v>489.57800000000003</v>
      </c>
      <c r="AA7" s="5">
        <f>SUM(AA5:AA6)</f>
        <v>47301.65</v>
      </c>
    </row>
    <row r="8" spans="1:30">
      <c r="A8" s="23">
        <v>40584</v>
      </c>
      <c r="B8" s="24">
        <v>2601.9499999999998</v>
      </c>
      <c r="C8" s="25">
        <f t="shared" si="0"/>
        <v>130.0975</v>
      </c>
      <c r="D8" s="26">
        <f t="shared" si="1"/>
        <v>130.0975</v>
      </c>
      <c r="E8" s="27">
        <v>0</v>
      </c>
      <c r="G8" s="16"/>
      <c r="H8" s="28"/>
      <c r="I8" s="29" t="e">
        <f>IF(#REF!/5&gt;$E$6,E10,(#REF!/5))</f>
        <v>#REF!</v>
      </c>
      <c r="J8" s="30" t="e">
        <f>#REF!/5</f>
        <v>#REF!</v>
      </c>
      <c r="K8" s="30" t="e">
        <f>#REF!/5+E10</f>
        <v>#REF!</v>
      </c>
      <c r="M8" s="31"/>
      <c r="P8" s="33">
        <f>57000+M3</f>
        <v>50762.899000000005</v>
      </c>
      <c r="Q8" s="34" t="s">
        <v>102</v>
      </c>
      <c r="S8" s="5">
        <f>3592/23</f>
        <v>156.17391304347825</v>
      </c>
      <c r="T8" s="5">
        <f>1310+1310+1000+1000</f>
        <v>4620</v>
      </c>
      <c r="U8" s="5">
        <f>24500-T8</f>
        <v>19880</v>
      </c>
      <c r="W8" s="31">
        <f>4065*0.0063</f>
        <v>25.609500000000001</v>
      </c>
      <c r="X8" s="5">
        <f>329.5+112+23.84</f>
        <v>465.34</v>
      </c>
    </row>
    <row r="9" spans="1:30">
      <c r="A9" s="23">
        <v>40599</v>
      </c>
      <c r="B9" s="24">
        <v>2601.9499999999998</v>
      </c>
      <c r="C9" s="25">
        <f t="shared" si="0"/>
        <v>130.0975</v>
      </c>
      <c r="D9" s="26">
        <f t="shared" si="1"/>
        <v>130.0975</v>
      </c>
      <c r="E9" s="27">
        <v>0</v>
      </c>
      <c r="G9" s="16"/>
      <c r="H9" s="28"/>
      <c r="I9" s="29" t="e">
        <f>IF(#REF!/5&gt;$E$6,E11,(#REF!/5))</f>
        <v>#REF!</v>
      </c>
      <c r="J9" s="30" t="e">
        <f>#REF!/5</f>
        <v>#REF!</v>
      </c>
      <c r="K9" s="30" t="e">
        <f>#REF!/5+E10</f>
        <v>#REF!</v>
      </c>
      <c r="M9" s="35"/>
      <c r="N9" s="36"/>
      <c r="O9" s="36"/>
      <c r="P9" s="14">
        <v>0</v>
      </c>
      <c r="Q9" s="15" t="s">
        <v>14</v>
      </c>
      <c r="S9" s="122">
        <f>S8/8</f>
        <v>19.521739130434781</v>
      </c>
    </row>
    <row r="10" spans="1:30">
      <c r="A10" s="23">
        <v>40612</v>
      </c>
      <c r="B10" s="24">
        <v>2601.9499999999998</v>
      </c>
      <c r="C10" s="25">
        <f t="shared" si="0"/>
        <v>130.0975</v>
      </c>
      <c r="D10" s="26">
        <f t="shared" si="1"/>
        <v>130.0975</v>
      </c>
      <c r="E10" s="27">
        <v>0</v>
      </c>
      <c r="G10" s="80" t="s">
        <v>96</v>
      </c>
      <c r="H10" s="81"/>
      <c r="I10" s="82"/>
      <c r="J10" s="83"/>
      <c r="K10" s="83"/>
      <c r="L10" s="84"/>
      <c r="M10" s="85"/>
      <c r="N10" s="86"/>
      <c r="O10" s="84"/>
      <c r="P10" s="14">
        <v>0</v>
      </c>
      <c r="Q10" s="15" t="s">
        <v>20</v>
      </c>
      <c r="S10" s="41"/>
    </row>
    <row r="11" spans="1:30" ht="13.5" thickBot="1">
      <c r="A11" s="23">
        <v>40627</v>
      </c>
      <c r="B11" s="24">
        <v>2601.9499999999998</v>
      </c>
      <c r="C11" s="25">
        <f t="shared" si="0"/>
        <v>130.0975</v>
      </c>
      <c r="D11" s="26">
        <f t="shared" si="1"/>
        <v>130.0975</v>
      </c>
      <c r="E11" s="27">
        <v>0</v>
      </c>
      <c r="G11" s="80" t="s">
        <v>97</v>
      </c>
      <c r="H11" s="81"/>
      <c r="I11" s="87"/>
      <c r="J11" s="88"/>
      <c r="K11" s="88"/>
      <c r="L11" s="84"/>
      <c r="M11" s="85"/>
      <c r="N11" s="86"/>
      <c r="O11" s="84"/>
      <c r="P11" s="19">
        <f>SUM(P8:P10)</f>
        <v>50762.899000000005</v>
      </c>
      <c r="Q11" s="37"/>
      <c r="S11" s="31"/>
      <c r="T11" s="31"/>
      <c r="U11" s="89"/>
    </row>
    <row r="12" spans="1:30" ht="13.5" thickBot="1">
      <c r="A12" s="23">
        <v>40643</v>
      </c>
      <c r="B12" s="24">
        <v>2601.9499999999998</v>
      </c>
      <c r="C12" s="25">
        <f t="shared" si="0"/>
        <v>130.0975</v>
      </c>
      <c r="D12" s="26">
        <f t="shared" si="1"/>
        <v>130.0975</v>
      </c>
      <c r="E12" s="27">
        <v>0</v>
      </c>
      <c r="G12" s="80" t="s">
        <v>98</v>
      </c>
      <c r="H12" s="84"/>
      <c r="I12" s="87"/>
      <c r="J12" s="88"/>
      <c r="K12" s="90"/>
      <c r="L12" s="84"/>
      <c r="M12" s="85"/>
      <c r="N12" s="86"/>
      <c r="O12" s="84"/>
      <c r="P12" s="38"/>
      <c r="Q12" s="39"/>
      <c r="S12" s="89">
        <f>4809*0.0063</f>
        <v>30.296700000000001</v>
      </c>
      <c r="T12" s="89"/>
    </row>
    <row r="13" spans="1:30">
      <c r="A13" s="23">
        <v>40658</v>
      </c>
      <c r="B13" s="24">
        <v>2601.9499999999998</v>
      </c>
      <c r="C13" s="25">
        <f t="shared" si="0"/>
        <v>130.0975</v>
      </c>
      <c r="D13" s="26">
        <f t="shared" si="1"/>
        <v>130.0975</v>
      </c>
      <c r="E13" s="27">
        <v>0</v>
      </c>
      <c r="G13" s="80" t="s">
        <v>105</v>
      </c>
      <c r="H13" s="81"/>
      <c r="I13" s="91" t="e">
        <v>#REF!</v>
      </c>
      <c r="J13" s="92" t="e">
        <v>#REF!</v>
      </c>
      <c r="K13" s="92" t="e">
        <v>#REF!</v>
      </c>
      <c r="L13" s="84"/>
      <c r="M13" s="85"/>
      <c r="N13" s="86"/>
      <c r="O13" s="84"/>
      <c r="P13" s="40" t="s">
        <v>30</v>
      </c>
      <c r="Q13" s="10"/>
      <c r="S13" s="31">
        <f>30.3*269.8</f>
        <v>8174.9400000000005</v>
      </c>
      <c r="T13" s="31"/>
      <c r="V13" s="5">
        <v>2015</v>
      </c>
      <c r="Y13" s="5">
        <v>2015</v>
      </c>
      <c r="AD13" s="5">
        <v>2016</v>
      </c>
    </row>
    <row r="14" spans="1:30">
      <c r="A14" s="23">
        <v>40673</v>
      </c>
      <c r="B14" s="24">
        <v>2601.9499999999998</v>
      </c>
      <c r="C14" s="25">
        <f t="shared" si="0"/>
        <v>130.0975</v>
      </c>
      <c r="D14" s="26">
        <f t="shared" si="1"/>
        <v>130.0975</v>
      </c>
      <c r="E14" s="27">
        <v>0</v>
      </c>
      <c r="I14" s="212" t="e">
        <f>IF(#REF!&gt;=0,IF(#REF!&gt;=0,"SRA OK","SRA need to be adjusted"), "&gt;45K Not eligible for SRA")</f>
        <v>#REF!</v>
      </c>
      <c r="J14" s="213"/>
      <c r="K14" s="214"/>
      <c r="M14" s="44"/>
      <c r="N14" s="41"/>
      <c r="P14" s="14">
        <f>IF(P11&lt;P6,P11,P6)</f>
        <v>25220.362375000001</v>
      </c>
      <c r="Q14" s="42" t="s">
        <v>31</v>
      </c>
      <c r="S14" s="31"/>
      <c r="V14" s="5" t="s">
        <v>66</v>
      </c>
      <c r="Y14" s="5" t="s">
        <v>67</v>
      </c>
      <c r="AD14" s="5" t="s">
        <v>67</v>
      </c>
    </row>
    <row r="15" spans="1:30" ht="15">
      <c r="A15" s="23">
        <v>40688</v>
      </c>
      <c r="B15" s="24">
        <v>2601.9499999999998</v>
      </c>
      <c r="C15" s="25">
        <f t="shared" si="0"/>
        <v>130.0975</v>
      </c>
      <c r="D15" s="26">
        <f t="shared" si="1"/>
        <v>130.0975</v>
      </c>
      <c r="E15" s="27">
        <v>0</v>
      </c>
      <c r="G15"/>
      <c r="H15"/>
      <c r="I15" s="212" t="e">
        <v>#REF!</v>
      </c>
      <c r="J15" s="213"/>
      <c r="K15" s="214"/>
      <c r="L15"/>
      <c r="M15" s="44"/>
      <c r="N15" s="41"/>
      <c r="P15" s="14">
        <f t="shared" ref="P15:P38" si="2">P14-E6</f>
        <v>25220.362375000001</v>
      </c>
      <c r="Q15" s="23">
        <v>40553</v>
      </c>
      <c r="S15" s="31">
        <f>6591/2</f>
        <v>3295.5</v>
      </c>
    </row>
    <row r="16" spans="1:30">
      <c r="A16" s="23">
        <v>40704</v>
      </c>
      <c r="B16" s="24">
        <v>2601.9499999999998</v>
      </c>
      <c r="C16" s="25">
        <f t="shared" si="0"/>
        <v>130.0975</v>
      </c>
      <c r="D16" s="26">
        <f t="shared" si="1"/>
        <v>130.0975</v>
      </c>
      <c r="E16" s="27">
        <v>0</v>
      </c>
      <c r="F16" s="3"/>
      <c r="I16" s="45"/>
      <c r="J16" s="45"/>
      <c r="K16" s="45"/>
      <c r="L16" s="45"/>
      <c r="M16" s="45"/>
      <c r="N16" s="46"/>
      <c r="O16" s="46"/>
      <c r="P16" s="14">
        <f t="shared" si="2"/>
        <v>25220.362375000001</v>
      </c>
      <c r="Q16" s="23">
        <v>40568</v>
      </c>
      <c r="S16" s="31">
        <f>S15*10%</f>
        <v>329.55</v>
      </c>
      <c r="T16" s="5" t="s">
        <v>84</v>
      </c>
    </row>
    <row r="17" spans="1:37">
      <c r="A17" s="23">
        <v>40719</v>
      </c>
      <c r="B17" s="24">
        <v>2601.9499999999998</v>
      </c>
      <c r="C17" s="25">
        <f t="shared" si="0"/>
        <v>130.0975</v>
      </c>
      <c r="D17" s="26">
        <f t="shared" si="1"/>
        <v>130.0975</v>
      </c>
      <c r="E17" s="27">
        <v>0</v>
      </c>
      <c r="I17" s="47"/>
      <c r="J17" s="45"/>
      <c r="K17" s="45"/>
      <c r="L17" s="45"/>
      <c r="M17" s="48"/>
      <c r="N17" s="45"/>
      <c r="O17" s="46"/>
      <c r="P17" s="14">
        <f t="shared" si="2"/>
        <v>25220.362375000001</v>
      </c>
      <c r="Q17" s="23">
        <v>40584</v>
      </c>
      <c r="S17" s="31">
        <v>112</v>
      </c>
      <c r="T17" s="5" t="s">
        <v>75</v>
      </c>
      <c r="V17" s="31">
        <v>3295</v>
      </c>
      <c r="Y17" s="31">
        <f>6159/2</f>
        <v>3079.5</v>
      </c>
      <c r="AD17" s="31">
        <v>2601.9499999999998</v>
      </c>
    </row>
    <row r="18" spans="1:37">
      <c r="A18" s="23">
        <v>40369</v>
      </c>
      <c r="B18" s="24">
        <v>2601.9499999999998</v>
      </c>
      <c r="C18" s="25">
        <f t="shared" si="0"/>
        <v>130.0975</v>
      </c>
      <c r="D18" s="26">
        <f t="shared" si="1"/>
        <v>130.0975</v>
      </c>
      <c r="E18" s="27">
        <v>0</v>
      </c>
      <c r="I18" s="45"/>
      <c r="J18" s="45"/>
      <c r="K18" s="45"/>
      <c r="L18" s="45"/>
      <c r="P18" s="14">
        <f t="shared" si="2"/>
        <v>25220.362375000001</v>
      </c>
      <c r="Q18" s="23">
        <v>40599</v>
      </c>
      <c r="S18" s="31">
        <v>0</v>
      </c>
      <c r="T18" s="5" t="s">
        <v>62</v>
      </c>
      <c r="V18" s="31">
        <f>-V17*0.1</f>
        <v>-329.5</v>
      </c>
      <c r="W18" s="5" t="s">
        <v>86</v>
      </c>
      <c r="Y18" s="31">
        <f>-Y17*0.1</f>
        <v>-307.95000000000005</v>
      </c>
      <c r="Z18" s="5" t="s">
        <v>86</v>
      </c>
      <c r="AB18" s="5">
        <v>260.2</v>
      </c>
      <c r="AD18" s="31">
        <f>-AD17*0.1</f>
        <v>-260.19499999999999</v>
      </c>
      <c r="AE18" s="5" t="s">
        <v>52</v>
      </c>
    </row>
    <row r="19" spans="1:37">
      <c r="A19" s="23">
        <v>40384</v>
      </c>
      <c r="B19" s="24">
        <v>2601.9499999999998</v>
      </c>
      <c r="C19" s="25">
        <f t="shared" si="0"/>
        <v>130.0975</v>
      </c>
      <c r="D19" s="26">
        <f t="shared" si="1"/>
        <v>130.0975</v>
      </c>
      <c r="E19" s="27">
        <v>1800</v>
      </c>
      <c r="I19" s="49"/>
      <c r="P19" s="14">
        <f t="shared" si="2"/>
        <v>25220.362375000001</v>
      </c>
      <c r="Q19" s="23">
        <v>40612</v>
      </c>
      <c r="S19" s="31">
        <v>23.84</v>
      </c>
      <c r="T19" s="5" t="s">
        <v>73</v>
      </c>
      <c r="V19" s="31">
        <v>-112</v>
      </c>
      <c r="W19" s="5" t="s">
        <v>85</v>
      </c>
      <c r="Y19" s="31">
        <v>-112</v>
      </c>
      <c r="Z19" s="5" t="s">
        <v>85</v>
      </c>
      <c r="AB19" s="5">
        <v>15.5</v>
      </c>
      <c r="AD19" s="31">
        <v>-15.5</v>
      </c>
      <c r="AE19" s="5" t="s">
        <v>64</v>
      </c>
    </row>
    <row r="20" spans="1:37">
      <c r="A20" s="23">
        <v>40400</v>
      </c>
      <c r="B20" s="24">
        <v>2601.9499999999998</v>
      </c>
      <c r="C20" s="25">
        <f t="shared" si="0"/>
        <v>130.0975</v>
      </c>
      <c r="D20" s="26">
        <f t="shared" si="1"/>
        <v>130.0975</v>
      </c>
      <c r="E20" s="27">
        <v>1800</v>
      </c>
      <c r="F20" s="50"/>
      <c r="G20" s="45"/>
      <c r="H20" s="45"/>
      <c r="P20" s="14">
        <f t="shared" si="2"/>
        <v>25220.362375000001</v>
      </c>
      <c r="Q20" s="23">
        <v>40627</v>
      </c>
      <c r="S20" s="31">
        <v>199.63</v>
      </c>
      <c r="T20" s="5" t="s">
        <v>54</v>
      </c>
      <c r="V20" s="31">
        <v>-23.84</v>
      </c>
      <c r="W20" s="5" t="s">
        <v>73</v>
      </c>
      <c r="Y20" s="31">
        <v>-23.84</v>
      </c>
      <c r="Z20" s="5" t="s">
        <v>73</v>
      </c>
      <c r="AB20" s="5">
        <v>100</v>
      </c>
      <c r="AD20" s="31">
        <v>-100</v>
      </c>
      <c r="AE20" s="5" t="s">
        <v>63</v>
      </c>
    </row>
    <row r="21" spans="1:37">
      <c r="A21" s="23">
        <v>40415</v>
      </c>
      <c r="B21" s="24">
        <v>2601.9499999999998</v>
      </c>
      <c r="C21" s="25">
        <f t="shared" si="0"/>
        <v>130.0975</v>
      </c>
      <c r="D21" s="26">
        <f t="shared" si="1"/>
        <v>130.0975</v>
      </c>
      <c r="E21" s="27">
        <v>1800</v>
      </c>
      <c r="F21" s="50"/>
      <c r="G21" s="51"/>
      <c r="H21" s="45"/>
      <c r="I21" s="52" t="s">
        <v>32</v>
      </c>
      <c r="P21" s="14">
        <f t="shared" si="2"/>
        <v>25220.362375000001</v>
      </c>
      <c r="Q21" s="23">
        <v>40643</v>
      </c>
      <c r="S21" s="31">
        <v>179.04</v>
      </c>
      <c r="T21" s="5" t="s">
        <v>68</v>
      </c>
      <c r="V21" s="31">
        <v>-20.73</v>
      </c>
      <c r="W21" s="5" t="s">
        <v>74</v>
      </c>
      <c r="Y21" s="31">
        <v>-20.73</v>
      </c>
      <c r="Z21" s="5" t="s">
        <v>74</v>
      </c>
      <c r="AB21" s="5">
        <v>270</v>
      </c>
      <c r="AD21" s="31">
        <v>0</v>
      </c>
      <c r="AE21" s="5" t="s">
        <v>53</v>
      </c>
      <c r="AK21" s="5">
        <f>187.39+94+208.33</f>
        <v>489.72</v>
      </c>
    </row>
    <row r="22" spans="1:37">
      <c r="A22" s="23">
        <v>40066</v>
      </c>
      <c r="B22" s="24">
        <v>2601.9499999999998</v>
      </c>
      <c r="C22" s="25">
        <f t="shared" si="0"/>
        <v>130.0975</v>
      </c>
      <c r="D22" s="26">
        <f t="shared" si="1"/>
        <v>130.0975</v>
      </c>
      <c r="E22" s="27">
        <v>1800</v>
      </c>
      <c r="F22" s="53" t="s">
        <v>33</v>
      </c>
      <c r="G22" s="53" t="s">
        <v>34</v>
      </c>
      <c r="H22" s="53" t="s">
        <v>35</v>
      </c>
      <c r="I22" s="52" t="s">
        <v>32</v>
      </c>
      <c r="P22" s="14">
        <f t="shared" si="2"/>
        <v>25220.362375000001</v>
      </c>
      <c r="Q22" s="23">
        <v>40658</v>
      </c>
      <c r="S22" s="31">
        <v>7.8</v>
      </c>
      <c r="T22" s="5" t="s">
        <v>55</v>
      </c>
      <c r="V22" s="31">
        <f>-(V17+V19+V20)*0.062</f>
        <v>-195.86792</v>
      </c>
      <c r="W22" s="5" t="s">
        <v>54</v>
      </c>
      <c r="Y22" s="31">
        <f>-(Y17+Y19+Y20)*0.062</f>
        <v>-182.50691999999998</v>
      </c>
      <c r="Z22" s="5" t="s">
        <v>54</v>
      </c>
      <c r="AB22" s="5">
        <f>SUM(AB18:AB21)</f>
        <v>645.70000000000005</v>
      </c>
      <c r="AD22" s="31">
        <f>-(AD17+AD19+AD20)*0.062</f>
        <v>-154.15989999999999</v>
      </c>
      <c r="AE22" s="5" t="s">
        <v>54</v>
      </c>
    </row>
    <row r="23" spans="1:37">
      <c r="A23" s="23">
        <v>40081</v>
      </c>
      <c r="B23" s="24">
        <v>2601.9499999999998</v>
      </c>
      <c r="C23" s="25">
        <f t="shared" si="0"/>
        <v>130.0975</v>
      </c>
      <c r="D23" s="26">
        <f t="shared" si="1"/>
        <v>130.0975</v>
      </c>
      <c r="E23" s="27">
        <v>1800</v>
      </c>
      <c r="F23" s="53" t="s">
        <v>16</v>
      </c>
      <c r="G23" s="53" t="s">
        <v>36</v>
      </c>
      <c r="H23" s="53" t="s">
        <v>16</v>
      </c>
      <c r="P23" s="14">
        <f t="shared" si="2"/>
        <v>25220.362375000001</v>
      </c>
      <c r="Q23" s="23">
        <v>40673</v>
      </c>
      <c r="S23" s="31">
        <v>8.2899999999999991</v>
      </c>
      <c r="T23" s="5" t="s">
        <v>103</v>
      </c>
      <c r="V23" s="31">
        <v>-264.36</v>
      </c>
      <c r="W23" s="5" t="s">
        <v>68</v>
      </c>
      <c r="Y23" s="31">
        <v>-260</v>
      </c>
      <c r="Z23" s="5" t="s">
        <v>68</v>
      </c>
      <c r="AD23" s="31">
        <v>-209.83</v>
      </c>
      <c r="AE23" s="5" t="s">
        <v>68</v>
      </c>
    </row>
    <row r="24" spans="1:37">
      <c r="A24" s="23">
        <v>40096</v>
      </c>
      <c r="B24" s="24">
        <v>2601.9499999999998</v>
      </c>
      <c r="C24" s="25">
        <f t="shared" si="0"/>
        <v>130.0975</v>
      </c>
      <c r="D24" s="26">
        <f t="shared" si="1"/>
        <v>130.0975</v>
      </c>
      <c r="E24" s="27">
        <v>1800</v>
      </c>
      <c r="F24" s="53" t="s">
        <v>37</v>
      </c>
      <c r="G24" s="53" t="s">
        <v>38</v>
      </c>
      <c r="H24" s="53" t="s">
        <v>39</v>
      </c>
      <c r="I24" s="207"/>
      <c r="J24" s="207"/>
      <c r="K24" s="207"/>
      <c r="P24" s="14">
        <f t="shared" si="2"/>
        <v>25220.362375000001</v>
      </c>
      <c r="Q24" s="23">
        <v>40688</v>
      </c>
      <c r="S24" s="31">
        <v>0</v>
      </c>
      <c r="T24" s="5" t="s">
        <v>57</v>
      </c>
      <c r="V24" s="31">
        <v>-7.09</v>
      </c>
      <c r="W24" s="5" t="s">
        <v>55</v>
      </c>
      <c r="Y24" s="31">
        <v>-7.09</v>
      </c>
      <c r="Z24" s="5" t="s">
        <v>55</v>
      </c>
      <c r="AD24" s="31">
        <v>-7.74</v>
      </c>
      <c r="AE24" s="5" t="s">
        <v>55</v>
      </c>
    </row>
    <row r="25" spans="1:37">
      <c r="A25" s="23">
        <v>40111</v>
      </c>
      <c r="B25" s="24">
        <v>2601.9499999999998</v>
      </c>
      <c r="C25" s="25">
        <f t="shared" si="0"/>
        <v>130.0975</v>
      </c>
      <c r="D25" s="26">
        <f t="shared" si="1"/>
        <v>130.0975</v>
      </c>
      <c r="E25" s="27">
        <v>1800</v>
      </c>
      <c r="F25" s="54"/>
      <c r="G25" s="55"/>
      <c r="H25" s="54"/>
      <c r="I25" s="207"/>
      <c r="J25" s="207"/>
      <c r="K25" s="207"/>
      <c r="P25" s="14">
        <f t="shared" si="2"/>
        <v>25220.362375000001</v>
      </c>
      <c r="Q25" s="23">
        <v>40704</v>
      </c>
      <c r="S25" s="31">
        <v>0</v>
      </c>
      <c r="T25" s="5" t="s">
        <v>57</v>
      </c>
      <c r="V25" s="31">
        <v>-40.65</v>
      </c>
      <c r="W25" s="5" t="s">
        <v>56</v>
      </c>
      <c r="Y25" s="31">
        <v>-40.65</v>
      </c>
      <c r="Z25" s="5" t="s">
        <v>56</v>
      </c>
      <c r="AD25" s="31">
        <v>0</v>
      </c>
      <c r="AE25" s="5" t="s">
        <v>56</v>
      </c>
    </row>
    <row r="26" spans="1:37">
      <c r="A26" s="23">
        <v>40127</v>
      </c>
      <c r="B26" s="24">
        <v>2601.9499999999998</v>
      </c>
      <c r="C26" s="25">
        <f t="shared" si="0"/>
        <v>130.0975</v>
      </c>
      <c r="D26" s="26">
        <f t="shared" si="1"/>
        <v>130.0975</v>
      </c>
      <c r="E26" s="27">
        <v>1800</v>
      </c>
      <c r="F26" s="50"/>
      <c r="G26" s="45"/>
      <c r="H26" s="45"/>
      <c r="P26" s="14">
        <f t="shared" si="2"/>
        <v>25220.362375000001</v>
      </c>
      <c r="Q26" s="23">
        <v>40719</v>
      </c>
      <c r="S26" s="31">
        <v>46.69</v>
      </c>
      <c r="T26" s="5" t="s">
        <v>59</v>
      </c>
      <c r="V26" s="31">
        <f>-(82.2+41.1+2.37+2.37)</f>
        <v>-128.04000000000002</v>
      </c>
      <c r="W26" s="5" t="s">
        <v>57</v>
      </c>
      <c r="Y26" s="31">
        <f>-(82.2+41.1+2.37+2.37)</f>
        <v>-128.04000000000002</v>
      </c>
      <c r="Z26" s="5" t="s">
        <v>57</v>
      </c>
      <c r="AD26" s="31">
        <v>0</v>
      </c>
      <c r="AE26" s="5" t="s">
        <v>57</v>
      </c>
    </row>
    <row r="27" spans="1:37" ht="15" customHeight="1">
      <c r="A27" s="23">
        <v>40142</v>
      </c>
      <c r="B27" s="24">
        <v>2601.9499999999998</v>
      </c>
      <c r="C27" s="25">
        <f t="shared" si="0"/>
        <v>130.0975</v>
      </c>
      <c r="D27" s="26">
        <f t="shared" si="1"/>
        <v>130.0975</v>
      </c>
      <c r="E27" s="27">
        <v>1800</v>
      </c>
      <c r="F27" s="56" t="s">
        <v>33</v>
      </c>
      <c r="G27" s="56" t="s">
        <v>34</v>
      </c>
      <c r="H27" s="56" t="s">
        <v>35</v>
      </c>
      <c r="P27" s="14">
        <f t="shared" si="2"/>
        <v>25220.362375000001</v>
      </c>
      <c r="Q27" s="23">
        <v>40369</v>
      </c>
      <c r="S27" s="31">
        <v>1000</v>
      </c>
      <c r="T27" s="5" t="s">
        <v>53</v>
      </c>
      <c r="V27" s="31">
        <v>-86.45</v>
      </c>
      <c r="W27" s="5" t="s">
        <v>104</v>
      </c>
      <c r="Y27" s="31">
        <v>-86.45</v>
      </c>
      <c r="Z27" s="5" t="s">
        <v>104</v>
      </c>
      <c r="AD27" s="31">
        <v>0</v>
      </c>
      <c r="AE27" s="5" t="s">
        <v>58</v>
      </c>
    </row>
    <row r="28" spans="1:37">
      <c r="A28" s="23">
        <v>40157</v>
      </c>
      <c r="B28" s="24">
        <v>2601.9499999999998</v>
      </c>
      <c r="C28" s="25">
        <f t="shared" si="0"/>
        <v>130.0975</v>
      </c>
      <c r="D28" s="26">
        <f t="shared" si="1"/>
        <v>130.0975</v>
      </c>
      <c r="E28" s="27">
        <v>1800</v>
      </c>
      <c r="F28" s="56" t="s">
        <v>16</v>
      </c>
      <c r="G28" s="56" t="s">
        <v>40</v>
      </c>
      <c r="H28" s="56" t="s">
        <v>16</v>
      </c>
      <c r="I28" s="45"/>
      <c r="J28" s="45"/>
      <c r="K28" s="45"/>
      <c r="L28" s="45"/>
      <c r="M28" s="48"/>
      <c r="N28" s="45"/>
      <c r="O28" s="46"/>
      <c r="P28" s="14">
        <f t="shared" si="2"/>
        <v>23420.362375000001</v>
      </c>
      <c r="Q28" s="23">
        <v>40384</v>
      </c>
      <c r="S28" s="31">
        <f>S15-S16-S20-S21-S26-S27-S17-S18-S19-S22--S23-S24-S25</f>
        <v>1405.2399999999998</v>
      </c>
      <c r="V28" s="31">
        <f>-(V17+V19+V20)*0.0145</f>
        <v>-45.80782</v>
      </c>
      <c r="W28" s="5" t="s">
        <v>59</v>
      </c>
      <c r="Y28" s="31">
        <f>-(Y17+Y19+Y20)*0.0145</f>
        <v>-42.683070000000001</v>
      </c>
      <c r="Z28" s="5" t="s">
        <v>59</v>
      </c>
      <c r="AD28" s="31">
        <f>-(AD17+AD19+AD20)*0.0145</f>
        <v>-36.053525</v>
      </c>
      <c r="AE28" s="5" t="s">
        <v>59</v>
      </c>
    </row>
    <row r="29" spans="1:37" ht="13.5" thickBot="1">
      <c r="A29" s="23">
        <v>39441</v>
      </c>
      <c r="B29" s="24">
        <v>2601.9499999999998</v>
      </c>
      <c r="C29" s="25">
        <f t="shared" si="0"/>
        <v>130.0975</v>
      </c>
      <c r="D29" s="26">
        <f t="shared" si="1"/>
        <v>130.0975</v>
      </c>
      <c r="E29" s="27">
        <v>1800</v>
      </c>
      <c r="F29" s="56" t="s">
        <v>37</v>
      </c>
      <c r="G29" s="56" t="s">
        <v>38</v>
      </c>
      <c r="H29" s="56" t="s">
        <v>39</v>
      </c>
      <c r="I29" s="57"/>
      <c r="J29" s="57"/>
      <c r="K29" s="57"/>
      <c r="L29" s="57"/>
      <c r="P29" s="14">
        <f t="shared" si="2"/>
        <v>21620.362375000001</v>
      </c>
      <c r="Q29" s="23">
        <v>40400</v>
      </c>
      <c r="V29" s="31">
        <v>0</v>
      </c>
      <c r="W29" s="5" t="s">
        <v>62</v>
      </c>
      <c r="Y29" s="31">
        <v>0</v>
      </c>
      <c r="Z29" s="5" t="s">
        <v>62</v>
      </c>
      <c r="AB29" s="5">
        <f>1800*0.85</f>
        <v>1530</v>
      </c>
      <c r="AD29" s="31">
        <v>-1800</v>
      </c>
      <c r="AE29" s="5" t="s">
        <v>62</v>
      </c>
    </row>
    <row r="30" spans="1:37">
      <c r="A30" s="58" t="s">
        <v>33</v>
      </c>
      <c r="B30" s="59">
        <f>SUM(B6:B29)</f>
        <v>62371.009999999973</v>
      </c>
      <c r="C30" s="59">
        <f>SUM(C6:C29)</f>
        <v>3118.5504999999994</v>
      </c>
      <c r="D30" s="60">
        <f>C30</f>
        <v>3118.5504999999994</v>
      </c>
      <c r="E30" s="59">
        <f>SUM(E6:E29)</f>
        <v>19800</v>
      </c>
      <c r="F30" s="61" t="e">
        <f>SUM(#REF!)</f>
        <v>#REF!</v>
      </c>
      <c r="G30" s="62">
        <v>49000</v>
      </c>
      <c r="H30" s="61" t="e">
        <f>G30-F30</f>
        <v>#REF!</v>
      </c>
      <c r="I30" s="57"/>
      <c r="J30" s="57"/>
      <c r="K30" s="57"/>
      <c r="L30" s="57"/>
      <c r="P30" s="14">
        <f t="shared" si="2"/>
        <v>19820.362375000001</v>
      </c>
      <c r="Q30" s="23">
        <v>40415</v>
      </c>
      <c r="S30" s="31">
        <f>S16+S17+S27</f>
        <v>1441.55</v>
      </c>
      <c r="V30" s="31">
        <f>SUM(V17:V29)</f>
        <v>2040.6642599999996</v>
      </c>
      <c r="Y30" s="31">
        <f>SUM(Y17:Y29)</f>
        <v>1867.5600099999999</v>
      </c>
      <c r="AB30" s="5">
        <f>1800*0.15</f>
        <v>270</v>
      </c>
      <c r="AD30" s="31">
        <f>SUM(AD17:AD29)</f>
        <v>18.471574999999575</v>
      </c>
    </row>
    <row r="31" spans="1:37" ht="13.5" thickBot="1">
      <c r="A31" s="63" t="s">
        <v>41</v>
      </c>
      <c r="B31" s="64">
        <f>B30*0.25</f>
        <v>15592.752499999993</v>
      </c>
      <c r="C31" s="64">
        <f>SUM(C6:C29)*0.25</f>
        <v>779.63762499999984</v>
      </c>
      <c r="D31" s="64">
        <v>0</v>
      </c>
      <c r="E31" s="65">
        <v>0</v>
      </c>
      <c r="F31" s="66" t="e">
        <f>SUM(#REF!)</f>
        <v>#REF!</v>
      </c>
      <c r="G31" s="67">
        <v>22000</v>
      </c>
      <c r="H31" s="66" t="e">
        <f>G31-F31</f>
        <v>#REF!</v>
      </c>
      <c r="I31" s="57"/>
      <c r="J31" s="57"/>
      <c r="K31" s="57"/>
      <c r="L31" s="57"/>
      <c r="P31" s="14">
        <f t="shared" si="2"/>
        <v>18020.362375000001</v>
      </c>
      <c r="Q31" s="23">
        <v>40066</v>
      </c>
    </row>
    <row r="32" spans="1:37">
      <c r="E32" s="45"/>
      <c r="F32" s="57"/>
      <c r="G32" s="57"/>
      <c r="H32" s="57"/>
      <c r="I32" s="57"/>
      <c r="J32" s="57"/>
      <c r="K32" s="57"/>
      <c r="L32" s="57"/>
      <c r="P32" s="14">
        <f t="shared" si="2"/>
        <v>16220.362375000001</v>
      </c>
      <c r="Q32" s="23">
        <v>40081</v>
      </c>
    </row>
    <row r="33" spans="2:25">
      <c r="E33" s="68"/>
      <c r="F33" s="57"/>
      <c r="G33" s="57"/>
      <c r="H33" s="57"/>
      <c r="I33" s="57"/>
      <c r="J33" s="57"/>
      <c r="K33" s="57"/>
      <c r="L33" s="57"/>
      <c r="P33" s="14">
        <f t="shared" si="2"/>
        <v>14420.362375000001</v>
      </c>
      <c r="Q33" s="23">
        <v>40096</v>
      </c>
    </row>
    <row r="34" spans="2:25">
      <c r="C34" s="31"/>
      <c r="E34" s="108" t="s">
        <v>61</v>
      </c>
      <c r="F34" s="57"/>
      <c r="G34" s="57"/>
      <c r="H34" s="57"/>
      <c r="I34" s="57"/>
      <c r="J34" s="57"/>
      <c r="K34" s="57"/>
      <c r="L34" s="57"/>
      <c r="P34" s="14">
        <f t="shared" si="2"/>
        <v>12620.362375000001</v>
      </c>
      <c r="Q34" s="23">
        <v>40111</v>
      </c>
      <c r="S34" s="110" t="s">
        <v>76</v>
      </c>
      <c r="T34" s="110"/>
    </row>
    <row r="35" spans="2:25">
      <c r="C35" s="31"/>
      <c r="E35" s="5" t="s">
        <v>69</v>
      </c>
      <c r="F35" s="57"/>
      <c r="G35" s="57"/>
      <c r="H35" s="57"/>
      <c r="I35" s="57"/>
      <c r="J35" s="57"/>
      <c r="K35" s="57"/>
      <c r="L35" s="57"/>
      <c r="P35" s="14">
        <f t="shared" si="2"/>
        <v>10820.362375000001</v>
      </c>
      <c r="Q35" s="23">
        <v>40127</v>
      </c>
    </row>
    <row r="36" spans="2:25">
      <c r="C36" s="31"/>
      <c r="F36" s="70"/>
      <c r="G36" s="57"/>
      <c r="H36" s="57"/>
      <c r="I36" s="57"/>
      <c r="J36" s="57"/>
      <c r="K36" s="57"/>
      <c r="L36" s="57"/>
      <c r="P36" s="14">
        <f t="shared" si="2"/>
        <v>9020.3623750000006</v>
      </c>
      <c r="Q36" s="23">
        <v>40142</v>
      </c>
      <c r="V36" s="36"/>
      <c r="W36" s="36"/>
      <c r="X36" s="5" t="s">
        <v>92</v>
      </c>
    </row>
    <row r="37" spans="2:25">
      <c r="C37" s="31"/>
      <c r="F37" s="57"/>
      <c r="G37" s="57"/>
      <c r="H37" s="57"/>
      <c r="I37" s="57"/>
      <c r="J37" s="57"/>
      <c r="K37" s="57"/>
      <c r="L37" s="57"/>
      <c r="P37" s="14">
        <f t="shared" si="2"/>
        <v>7220.3623750000006</v>
      </c>
      <c r="Q37" s="23">
        <v>40157</v>
      </c>
      <c r="X37" s="16" t="s">
        <v>91</v>
      </c>
    </row>
    <row r="38" spans="2:25" ht="15.75" thickBot="1">
      <c r="C38" s="31"/>
      <c r="F38" s="57"/>
      <c r="G38" s="57"/>
      <c r="H38" s="57"/>
      <c r="I38" s="57"/>
      <c r="J38" s="57"/>
      <c r="K38" s="57"/>
      <c r="L38" s="57"/>
      <c r="M38" s="5" t="s">
        <v>42</v>
      </c>
      <c r="P38" s="19">
        <f t="shared" si="2"/>
        <v>5420.3623750000006</v>
      </c>
      <c r="Q38" s="71">
        <v>39441</v>
      </c>
      <c r="S38" s="31"/>
      <c r="X38" s="115" t="s">
        <v>89</v>
      </c>
    </row>
    <row r="39" spans="2:25" ht="15">
      <c r="F39" s="57"/>
      <c r="G39" s="57"/>
      <c r="H39" s="57"/>
      <c r="I39" s="57"/>
      <c r="J39" s="57"/>
      <c r="K39" s="57"/>
      <c r="L39" s="57"/>
      <c r="S39" s="31">
        <v>22500</v>
      </c>
      <c r="X39" s="115" t="s">
        <v>90</v>
      </c>
    </row>
    <row r="40" spans="2:25" ht="15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S40" s="31">
        <v>0</v>
      </c>
      <c r="T40" s="5" t="s">
        <v>81</v>
      </c>
      <c r="W40" s="31"/>
      <c r="X40" s="115"/>
    </row>
    <row r="41" spans="2:25" ht="15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S41" s="31">
        <v>0</v>
      </c>
      <c r="T41" s="5" t="s">
        <v>64</v>
      </c>
      <c r="X41" s="115"/>
    </row>
    <row r="42" spans="2:25" ht="15">
      <c r="B42" s="72"/>
      <c r="C42" s="57"/>
      <c r="D42" s="57"/>
      <c r="E42" s="57"/>
      <c r="F42" s="57"/>
      <c r="G42" s="57"/>
      <c r="H42" s="57"/>
      <c r="S42" s="31">
        <v>0</v>
      </c>
      <c r="T42" s="5" t="s">
        <v>77</v>
      </c>
      <c r="X42" s="115"/>
    </row>
    <row r="43" spans="2:25">
      <c r="B43" s="57"/>
      <c r="C43" s="70"/>
      <c r="D43" s="70"/>
      <c r="E43" s="57"/>
      <c r="S43" s="31">
        <v>-7870</v>
      </c>
      <c r="T43" s="5" t="s">
        <v>53</v>
      </c>
      <c r="X43" s="16"/>
    </row>
    <row r="44" spans="2:25">
      <c r="S44" s="31">
        <f>-(S39+S41+S42)*0.062</f>
        <v>-1395</v>
      </c>
      <c r="T44" s="5" t="s">
        <v>54</v>
      </c>
      <c r="X44" s="31">
        <v>35000</v>
      </c>
    </row>
    <row r="45" spans="2:25">
      <c r="C45" s="31"/>
      <c r="S45" s="31">
        <v>0</v>
      </c>
      <c r="T45" s="5" t="s">
        <v>68</v>
      </c>
      <c r="X45" s="31">
        <v>0</v>
      </c>
      <c r="Y45" s="5" t="s">
        <v>84</v>
      </c>
    </row>
    <row r="46" spans="2:25">
      <c r="S46" s="31">
        <v>0</v>
      </c>
      <c r="T46" s="5" t="s">
        <v>55</v>
      </c>
      <c r="X46" s="31">
        <v>0</v>
      </c>
      <c r="Y46" s="5" t="s">
        <v>75</v>
      </c>
    </row>
    <row r="47" spans="2:25">
      <c r="S47" s="31">
        <v>0</v>
      </c>
      <c r="T47" s="5" t="s">
        <v>56</v>
      </c>
      <c r="X47" s="31">
        <v>0</v>
      </c>
      <c r="Y47" s="5" t="s">
        <v>77</v>
      </c>
    </row>
    <row r="48" spans="2:25">
      <c r="S48" s="31">
        <v>0</v>
      </c>
      <c r="T48" s="5" t="s">
        <v>57</v>
      </c>
      <c r="X48" s="31">
        <v>-7415</v>
      </c>
      <c r="Y48" s="5" t="s">
        <v>53</v>
      </c>
    </row>
    <row r="49" spans="19:25">
      <c r="S49" s="31">
        <v>0</v>
      </c>
      <c r="T49" s="5" t="s">
        <v>57</v>
      </c>
      <c r="X49" s="31">
        <f>-(X44+X46+X47)*0.062</f>
        <v>-2170</v>
      </c>
      <c r="Y49" s="5" t="s">
        <v>54</v>
      </c>
    </row>
    <row r="50" spans="19:25">
      <c r="S50" s="31">
        <f>-(S39+S41+S42)*0.0145</f>
        <v>-326.25</v>
      </c>
      <c r="T50" s="5" t="s">
        <v>59</v>
      </c>
      <c r="X50" s="31">
        <f>-(X44+X56+X48)*0.25</f>
        <v>-896.25</v>
      </c>
      <c r="Y50" s="5" t="s">
        <v>68</v>
      </c>
    </row>
    <row r="51" spans="19:25">
      <c r="S51" s="31">
        <v>-12900</v>
      </c>
      <c r="T51" s="5" t="s">
        <v>62</v>
      </c>
      <c r="X51" s="31">
        <v>0</v>
      </c>
      <c r="Y51" s="5" t="s">
        <v>55</v>
      </c>
    </row>
    <row r="52" spans="19:25">
      <c r="S52" s="31">
        <f>SUM(S39:S51)</f>
        <v>8.75</v>
      </c>
      <c r="X52" s="31">
        <v>0</v>
      </c>
      <c r="Y52" s="5" t="s">
        <v>56</v>
      </c>
    </row>
    <row r="53" spans="19:25">
      <c r="X53" s="31">
        <v>0</v>
      </c>
      <c r="Y53" s="5" t="s">
        <v>57</v>
      </c>
    </row>
    <row r="54" spans="19:25">
      <c r="X54" s="31">
        <v>0</v>
      </c>
      <c r="Y54" s="5" t="s">
        <v>57</v>
      </c>
    </row>
    <row r="55" spans="19:25">
      <c r="X55" s="31">
        <f>-(X44+X46+X47)*0.0145</f>
        <v>-507.5</v>
      </c>
      <c r="Y55" s="5" t="s">
        <v>59</v>
      </c>
    </row>
    <row r="56" spans="19:25">
      <c r="S56" s="31"/>
      <c r="X56" s="31">
        <v>-24000</v>
      </c>
      <c r="Y56" s="5" t="s">
        <v>62</v>
      </c>
    </row>
    <row r="57" spans="19:25">
      <c r="S57" s="31">
        <v>11264</v>
      </c>
      <c r="X57" s="31">
        <f>SUM(X44:X56)</f>
        <v>11.25</v>
      </c>
    </row>
    <row r="58" spans="19:25">
      <c r="S58" s="31">
        <v>0</v>
      </c>
      <c r="T58" s="5" t="s">
        <v>81</v>
      </c>
    </row>
    <row r="59" spans="19:25">
      <c r="S59" s="31">
        <v>0</v>
      </c>
      <c r="T59" s="5" t="s">
        <v>64</v>
      </c>
      <c r="W59" s="5">
        <f>12900+10390</f>
        <v>23290</v>
      </c>
    </row>
    <row r="60" spans="19:25">
      <c r="S60" s="31">
        <v>0</v>
      </c>
      <c r="T60" s="5" t="s">
        <v>77</v>
      </c>
    </row>
    <row r="61" spans="19:25">
      <c r="S61" s="31">
        <v>0</v>
      </c>
      <c r="T61" s="5" t="s">
        <v>53</v>
      </c>
    </row>
    <row r="62" spans="19:25">
      <c r="S62" s="31">
        <f>-(S57+S59+S60)*0.062</f>
        <v>-698.36799999999994</v>
      </c>
      <c r="T62" s="5" t="s">
        <v>54</v>
      </c>
    </row>
    <row r="63" spans="19:25">
      <c r="S63" s="31">
        <v>0</v>
      </c>
      <c r="T63" s="5" t="s">
        <v>68</v>
      </c>
      <c r="X63" s="110" t="s">
        <v>76</v>
      </c>
      <c r="Y63" s="110"/>
    </row>
    <row r="64" spans="19:25">
      <c r="S64" s="31">
        <v>0</v>
      </c>
      <c r="T64" s="5" t="s">
        <v>55</v>
      </c>
    </row>
    <row r="65" spans="19:24">
      <c r="S65" s="31">
        <v>0</v>
      </c>
      <c r="T65" s="5" t="s">
        <v>56</v>
      </c>
      <c r="X65" s="89" t="s">
        <v>32</v>
      </c>
    </row>
    <row r="66" spans="19:24">
      <c r="S66" s="31">
        <v>0</v>
      </c>
      <c r="T66" s="5" t="s">
        <v>57</v>
      </c>
    </row>
    <row r="67" spans="19:24">
      <c r="S67" s="31">
        <v>0</v>
      </c>
      <c r="T67" s="5" t="s">
        <v>57</v>
      </c>
    </row>
    <row r="68" spans="19:24">
      <c r="S68" s="31">
        <f>-(S57+S59+S60)*0.0145</f>
        <v>-163.328</v>
      </c>
      <c r="T68" s="5" t="s">
        <v>59</v>
      </c>
    </row>
    <row r="69" spans="19:24">
      <c r="S69" s="31">
        <v>-10390</v>
      </c>
      <c r="T69" s="5" t="s">
        <v>62</v>
      </c>
    </row>
    <row r="70" spans="19:24">
      <c r="S70" s="31">
        <f>SUM(S57:S69)</f>
        <v>12.304000000000087</v>
      </c>
    </row>
  </sheetData>
  <mergeCells count="7">
    <mergeCell ref="I25:K25"/>
    <mergeCell ref="B1:C1"/>
    <mergeCell ref="J1:K1"/>
    <mergeCell ref="B2:C2"/>
    <mergeCell ref="I14:K14"/>
    <mergeCell ref="I15:K15"/>
    <mergeCell ref="I24:K24"/>
  </mergeCells>
  <pageMargins left="0.45" right="0.4" top="1" bottom="0.72" header="0.5" footer="0.5"/>
  <pageSetup paperSize="14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/>
  <dimension ref="A1:WVT47"/>
  <sheetViews>
    <sheetView zoomScale="85" zoomScaleNormal="85" workbookViewId="0">
      <selection activeCell="O34" sqref="O34"/>
    </sheetView>
  </sheetViews>
  <sheetFormatPr defaultRowHeight="12.75"/>
  <cols>
    <col min="1" max="1" width="10.42578125" style="5" bestFit="1" customWidth="1"/>
    <col min="2" max="2" width="13.42578125" style="5" customWidth="1"/>
    <col min="3" max="3" width="12.42578125" style="5" customWidth="1"/>
    <col min="4" max="4" width="12.5703125" style="5" customWidth="1"/>
    <col min="5" max="6" width="13" style="5" customWidth="1"/>
    <col min="7" max="7" width="20.7109375" style="5" customWidth="1"/>
    <col min="8" max="8" width="14.7109375" style="5" customWidth="1"/>
    <col min="9" max="9" width="12.7109375" style="5" hidden="1" customWidth="1"/>
    <col min="10" max="11" width="17.7109375" style="5" hidden="1" customWidth="1"/>
    <col min="12" max="12" width="9.28515625" style="5" hidden="1" customWidth="1"/>
    <col min="13" max="16" width="11.28515625" style="5" customWidth="1"/>
    <col min="17" max="17" width="19.7109375" style="5" customWidth="1"/>
    <col min="18" max="19" width="8.7109375" style="5"/>
    <col min="20" max="20" width="10.7109375" style="5" customWidth="1"/>
    <col min="21" max="256" width="8.7109375" style="5"/>
    <col min="257" max="257" width="10.42578125" style="5" bestFit="1" customWidth="1"/>
    <col min="258" max="258" width="13.42578125" style="5" customWidth="1"/>
    <col min="259" max="259" width="12.42578125" style="5" customWidth="1"/>
    <col min="260" max="260" width="12.5703125" style="5" customWidth="1"/>
    <col min="261" max="263" width="13" style="5" customWidth="1"/>
    <col min="264" max="264" width="14.7109375" style="5" customWidth="1"/>
    <col min="265" max="268" width="9.28515625" style="5" hidden="1" customWidth="1"/>
    <col min="269" max="272" width="11.28515625" style="5" customWidth="1"/>
    <col min="273" max="273" width="19.7109375" style="5" customWidth="1"/>
    <col min="274" max="512" width="8.7109375" style="5"/>
    <col min="513" max="513" width="10.42578125" style="5" bestFit="1" customWidth="1"/>
    <col min="514" max="514" width="13.42578125" style="5" customWidth="1"/>
    <col min="515" max="515" width="12.42578125" style="5" customWidth="1"/>
    <col min="516" max="516" width="12.5703125" style="5" customWidth="1"/>
    <col min="517" max="519" width="13" style="5" customWidth="1"/>
    <col min="520" max="520" width="14.7109375" style="5" customWidth="1"/>
    <col min="521" max="524" width="9.28515625" style="5" hidden="1" customWidth="1"/>
    <col min="525" max="528" width="11.28515625" style="5" customWidth="1"/>
    <col min="529" max="529" width="19.7109375" style="5" customWidth="1"/>
    <col min="530" max="768" width="8.7109375" style="5"/>
    <col min="769" max="769" width="10.42578125" style="5" bestFit="1" customWidth="1"/>
    <col min="770" max="770" width="13.42578125" style="5" customWidth="1"/>
    <col min="771" max="771" width="12.42578125" style="5" customWidth="1"/>
    <col min="772" max="772" width="12.5703125" style="5" customWidth="1"/>
    <col min="773" max="775" width="13" style="5" customWidth="1"/>
    <col min="776" max="776" width="14.7109375" style="5" customWidth="1"/>
    <col min="777" max="780" width="9.28515625" style="5" hidden="1" customWidth="1"/>
    <col min="781" max="784" width="11.28515625" style="5" customWidth="1"/>
    <col min="785" max="785" width="19.7109375" style="5" customWidth="1"/>
    <col min="786" max="1024" width="8.7109375" style="5"/>
    <col min="1025" max="1025" width="10.42578125" style="5" bestFit="1" customWidth="1"/>
    <col min="1026" max="1026" width="13.42578125" style="5" customWidth="1"/>
    <col min="1027" max="1027" width="12.42578125" style="5" customWidth="1"/>
    <col min="1028" max="1028" width="12.5703125" style="5" customWidth="1"/>
    <col min="1029" max="1031" width="13" style="5" customWidth="1"/>
    <col min="1032" max="1032" width="14.7109375" style="5" customWidth="1"/>
    <col min="1033" max="1036" width="9.28515625" style="5" hidden="1" customWidth="1"/>
    <col min="1037" max="1040" width="11.28515625" style="5" customWidth="1"/>
    <col min="1041" max="1041" width="19.7109375" style="5" customWidth="1"/>
    <col min="1042" max="1280" width="8.7109375" style="5"/>
    <col min="1281" max="1281" width="10.42578125" style="5" bestFit="1" customWidth="1"/>
    <col min="1282" max="1282" width="13.42578125" style="5" customWidth="1"/>
    <col min="1283" max="1283" width="12.42578125" style="5" customWidth="1"/>
    <col min="1284" max="1284" width="12.5703125" style="5" customWidth="1"/>
    <col min="1285" max="1287" width="13" style="5" customWidth="1"/>
    <col min="1288" max="1288" width="14.7109375" style="5" customWidth="1"/>
    <col min="1289" max="1292" width="9.28515625" style="5" hidden="1" customWidth="1"/>
    <col min="1293" max="1296" width="11.28515625" style="5" customWidth="1"/>
    <col min="1297" max="1297" width="19.7109375" style="5" customWidth="1"/>
    <col min="1298" max="1536" width="8.7109375" style="5"/>
    <col min="1537" max="1537" width="10.42578125" style="5" bestFit="1" customWidth="1"/>
    <col min="1538" max="1538" width="13.42578125" style="5" customWidth="1"/>
    <col min="1539" max="1539" width="12.42578125" style="5" customWidth="1"/>
    <col min="1540" max="1540" width="12.5703125" style="5" customWidth="1"/>
    <col min="1541" max="1543" width="13" style="5" customWidth="1"/>
    <col min="1544" max="1544" width="14.7109375" style="5" customWidth="1"/>
    <col min="1545" max="1548" width="9.28515625" style="5" hidden="1" customWidth="1"/>
    <col min="1549" max="1552" width="11.28515625" style="5" customWidth="1"/>
    <col min="1553" max="1553" width="19.7109375" style="5" customWidth="1"/>
    <col min="1554" max="1792" width="8.7109375" style="5"/>
    <col min="1793" max="1793" width="10.42578125" style="5" bestFit="1" customWidth="1"/>
    <col min="1794" max="1794" width="13.42578125" style="5" customWidth="1"/>
    <col min="1795" max="1795" width="12.42578125" style="5" customWidth="1"/>
    <col min="1796" max="1796" width="12.5703125" style="5" customWidth="1"/>
    <col min="1797" max="1799" width="13" style="5" customWidth="1"/>
    <col min="1800" max="1800" width="14.7109375" style="5" customWidth="1"/>
    <col min="1801" max="1804" width="9.28515625" style="5" hidden="1" customWidth="1"/>
    <col min="1805" max="1808" width="11.28515625" style="5" customWidth="1"/>
    <col min="1809" max="1809" width="19.7109375" style="5" customWidth="1"/>
    <col min="1810" max="2048" width="8.7109375" style="5"/>
    <col min="2049" max="2049" width="10.42578125" style="5" bestFit="1" customWidth="1"/>
    <col min="2050" max="2050" width="13.42578125" style="5" customWidth="1"/>
    <col min="2051" max="2051" width="12.42578125" style="5" customWidth="1"/>
    <col min="2052" max="2052" width="12.5703125" style="5" customWidth="1"/>
    <col min="2053" max="2055" width="13" style="5" customWidth="1"/>
    <col min="2056" max="2056" width="14.7109375" style="5" customWidth="1"/>
    <col min="2057" max="2060" width="9.28515625" style="5" hidden="1" customWidth="1"/>
    <col min="2061" max="2064" width="11.28515625" style="5" customWidth="1"/>
    <col min="2065" max="2065" width="19.7109375" style="5" customWidth="1"/>
    <col min="2066" max="2304" width="8.7109375" style="5"/>
    <col min="2305" max="2305" width="10.42578125" style="5" bestFit="1" customWidth="1"/>
    <col min="2306" max="2306" width="13.42578125" style="5" customWidth="1"/>
    <col min="2307" max="2307" width="12.42578125" style="5" customWidth="1"/>
    <col min="2308" max="2308" width="12.5703125" style="5" customWidth="1"/>
    <col min="2309" max="2311" width="13" style="5" customWidth="1"/>
    <col min="2312" max="2312" width="14.7109375" style="5" customWidth="1"/>
    <col min="2313" max="2316" width="9.28515625" style="5" hidden="1" customWidth="1"/>
    <col min="2317" max="2320" width="11.28515625" style="5" customWidth="1"/>
    <col min="2321" max="2321" width="19.7109375" style="5" customWidth="1"/>
    <col min="2322" max="2560" width="8.7109375" style="5"/>
    <col min="2561" max="2561" width="10.42578125" style="5" bestFit="1" customWidth="1"/>
    <col min="2562" max="2562" width="13.42578125" style="5" customWidth="1"/>
    <col min="2563" max="2563" width="12.42578125" style="5" customWidth="1"/>
    <col min="2564" max="2564" width="12.5703125" style="5" customWidth="1"/>
    <col min="2565" max="2567" width="13" style="5" customWidth="1"/>
    <col min="2568" max="2568" width="14.7109375" style="5" customWidth="1"/>
    <col min="2569" max="2572" width="9.28515625" style="5" hidden="1" customWidth="1"/>
    <col min="2573" max="2576" width="11.28515625" style="5" customWidth="1"/>
    <col min="2577" max="2577" width="19.7109375" style="5" customWidth="1"/>
    <col min="2578" max="2816" width="8.7109375" style="5"/>
    <col min="2817" max="2817" width="10.42578125" style="5" bestFit="1" customWidth="1"/>
    <col min="2818" max="2818" width="13.42578125" style="5" customWidth="1"/>
    <col min="2819" max="2819" width="12.42578125" style="5" customWidth="1"/>
    <col min="2820" max="2820" width="12.5703125" style="5" customWidth="1"/>
    <col min="2821" max="2823" width="13" style="5" customWidth="1"/>
    <col min="2824" max="2824" width="14.7109375" style="5" customWidth="1"/>
    <col min="2825" max="2828" width="9.28515625" style="5" hidden="1" customWidth="1"/>
    <col min="2829" max="2832" width="11.28515625" style="5" customWidth="1"/>
    <col min="2833" max="2833" width="19.7109375" style="5" customWidth="1"/>
    <col min="2834" max="3072" width="8.7109375" style="5"/>
    <col min="3073" max="3073" width="10.42578125" style="5" bestFit="1" customWidth="1"/>
    <col min="3074" max="3074" width="13.42578125" style="5" customWidth="1"/>
    <col min="3075" max="3075" width="12.42578125" style="5" customWidth="1"/>
    <col min="3076" max="3076" width="12.5703125" style="5" customWidth="1"/>
    <col min="3077" max="3079" width="13" style="5" customWidth="1"/>
    <col min="3080" max="3080" width="14.7109375" style="5" customWidth="1"/>
    <col min="3081" max="3084" width="9.28515625" style="5" hidden="1" customWidth="1"/>
    <col min="3085" max="3088" width="11.28515625" style="5" customWidth="1"/>
    <col min="3089" max="3089" width="19.7109375" style="5" customWidth="1"/>
    <col min="3090" max="3328" width="8.7109375" style="5"/>
    <col min="3329" max="3329" width="10.42578125" style="5" bestFit="1" customWidth="1"/>
    <col min="3330" max="3330" width="13.42578125" style="5" customWidth="1"/>
    <col min="3331" max="3331" width="12.42578125" style="5" customWidth="1"/>
    <col min="3332" max="3332" width="12.5703125" style="5" customWidth="1"/>
    <col min="3333" max="3335" width="13" style="5" customWidth="1"/>
    <col min="3336" max="3336" width="14.7109375" style="5" customWidth="1"/>
    <col min="3337" max="3340" width="9.28515625" style="5" hidden="1" customWidth="1"/>
    <col min="3341" max="3344" width="11.28515625" style="5" customWidth="1"/>
    <col min="3345" max="3345" width="19.7109375" style="5" customWidth="1"/>
    <col min="3346" max="3584" width="8.7109375" style="5"/>
    <col min="3585" max="3585" width="10.42578125" style="5" bestFit="1" customWidth="1"/>
    <col min="3586" max="3586" width="13.42578125" style="5" customWidth="1"/>
    <col min="3587" max="3587" width="12.42578125" style="5" customWidth="1"/>
    <col min="3588" max="3588" width="12.5703125" style="5" customWidth="1"/>
    <col min="3589" max="3591" width="13" style="5" customWidth="1"/>
    <col min="3592" max="3592" width="14.7109375" style="5" customWidth="1"/>
    <col min="3593" max="3596" width="9.28515625" style="5" hidden="1" customWidth="1"/>
    <col min="3597" max="3600" width="11.28515625" style="5" customWidth="1"/>
    <col min="3601" max="3601" width="19.7109375" style="5" customWidth="1"/>
    <col min="3602" max="3840" width="8.7109375" style="5"/>
    <col min="3841" max="3841" width="10.42578125" style="5" bestFit="1" customWidth="1"/>
    <col min="3842" max="3842" width="13.42578125" style="5" customWidth="1"/>
    <col min="3843" max="3843" width="12.42578125" style="5" customWidth="1"/>
    <col min="3844" max="3844" width="12.5703125" style="5" customWidth="1"/>
    <col min="3845" max="3847" width="13" style="5" customWidth="1"/>
    <col min="3848" max="3848" width="14.7109375" style="5" customWidth="1"/>
    <col min="3849" max="3852" width="9.28515625" style="5" hidden="1" customWidth="1"/>
    <col min="3853" max="3856" width="11.28515625" style="5" customWidth="1"/>
    <col min="3857" max="3857" width="19.7109375" style="5" customWidth="1"/>
    <col min="3858" max="4096" width="8.7109375" style="5"/>
    <col min="4097" max="4097" width="10.42578125" style="5" bestFit="1" customWidth="1"/>
    <col min="4098" max="4098" width="13.42578125" style="5" customWidth="1"/>
    <col min="4099" max="4099" width="12.42578125" style="5" customWidth="1"/>
    <col min="4100" max="4100" width="12.5703125" style="5" customWidth="1"/>
    <col min="4101" max="4103" width="13" style="5" customWidth="1"/>
    <col min="4104" max="4104" width="14.7109375" style="5" customWidth="1"/>
    <col min="4105" max="4108" width="9.28515625" style="5" hidden="1" customWidth="1"/>
    <col min="4109" max="4112" width="11.28515625" style="5" customWidth="1"/>
    <col min="4113" max="4113" width="19.7109375" style="5" customWidth="1"/>
    <col min="4114" max="4352" width="8.7109375" style="5"/>
    <col min="4353" max="4353" width="10.42578125" style="5" bestFit="1" customWidth="1"/>
    <col min="4354" max="4354" width="13.42578125" style="5" customWidth="1"/>
    <col min="4355" max="4355" width="12.42578125" style="5" customWidth="1"/>
    <col min="4356" max="4356" width="12.5703125" style="5" customWidth="1"/>
    <col min="4357" max="4359" width="13" style="5" customWidth="1"/>
    <col min="4360" max="4360" width="14.7109375" style="5" customWidth="1"/>
    <col min="4361" max="4364" width="9.28515625" style="5" hidden="1" customWidth="1"/>
    <col min="4365" max="4368" width="11.28515625" style="5" customWidth="1"/>
    <col min="4369" max="4369" width="19.7109375" style="5" customWidth="1"/>
    <col min="4370" max="4608" width="8.7109375" style="5"/>
    <col min="4609" max="4609" width="10.42578125" style="5" bestFit="1" customWidth="1"/>
    <col min="4610" max="4610" width="13.42578125" style="5" customWidth="1"/>
    <col min="4611" max="4611" width="12.42578125" style="5" customWidth="1"/>
    <col min="4612" max="4612" width="12.5703125" style="5" customWidth="1"/>
    <col min="4613" max="4615" width="13" style="5" customWidth="1"/>
    <col min="4616" max="4616" width="14.7109375" style="5" customWidth="1"/>
    <col min="4617" max="4620" width="9.28515625" style="5" hidden="1" customWidth="1"/>
    <col min="4621" max="4624" width="11.28515625" style="5" customWidth="1"/>
    <col min="4625" max="4625" width="19.7109375" style="5" customWidth="1"/>
    <col min="4626" max="4864" width="8.7109375" style="5"/>
    <col min="4865" max="4865" width="10.42578125" style="5" bestFit="1" customWidth="1"/>
    <col min="4866" max="4866" width="13.42578125" style="5" customWidth="1"/>
    <col min="4867" max="4867" width="12.42578125" style="5" customWidth="1"/>
    <col min="4868" max="4868" width="12.5703125" style="5" customWidth="1"/>
    <col min="4869" max="4871" width="13" style="5" customWidth="1"/>
    <col min="4872" max="4872" width="14.7109375" style="5" customWidth="1"/>
    <col min="4873" max="4876" width="9.28515625" style="5" hidden="1" customWidth="1"/>
    <col min="4877" max="4880" width="11.28515625" style="5" customWidth="1"/>
    <col min="4881" max="4881" width="19.7109375" style="5" customWidth="1"/>
    <col min="4882" max="5120" width="8.7109375" style="5"/>
    <col min="5121" max="5121" width="10.42578125" style="5" bestFit="1" customWidth="1"/>
    <col min="5122" max="5122" width="13.42578125" style="5" customWidth="1"/>
    <col min="5123" max="5123" width="12.42578125" style="5" customWidth="1"/>
    <col min="5124" max="5124" width="12.5703125" style="5" customWidth="1"/>
    <col min="5125" max="5127" width="13" style="5" customWidth="1"/>
    <col min="5128" max="5128" width="14.7109375" style="5" customWidth="1"/>
    <col min="5129" max="5132" width="9.28515625" style="5" hidden="1" customWidth="1"/>
    <col min="5133" max="5136" width="11.28515625" style="5" customWidth="1"/>
    <col min="5137" max="5137" width="19.7109375" style="5" customWidth="1"/>
    <col min="5138" max="5376" width="8.7109375" style="5"/>
    <col min="5377" max="5377" width="10.42578125" style="5" bestFit="1" customWidth="1"/>
    <col min="5378" max="5378" width="13.42578125" style="5" customWidth="1"/>
    <col min="5379" max="5379" width="12.42578125" style="5" customWidth="1"/>
    <col min="5380" max="5380" width="12.5703125" style="5" customWidth="1"/>
    <col min="5381" max="5383" width="13" style="5" customWidth="1"/>
    <col min="5384" max="5384" width="14.7109375" style="5" customWidth="1"/>
    <col min="5385" max="5388" width="9.28515625" style="5" hidden="1" customWidth="1"/>
    <col min="5389" max="5392" width="11.28515625" style="5" customWidth="1"/>
    <col min="5393" max="5393" width="19.7109375" style="5" customWidth="1"/>
    <col min="5394" max="5632" width="8.7109375" style="5"/>
    <col min="5633" max="5633" width="10.42578125" style="5" bestFit="1" customWidth="1"/>
    <col min="5634" max="5634" width="13.42578125" style="5" customWidth="1"/>
    <col min="5635" max="5635" width="12.42578125" style="5" customWidth="1"/>
    <col min="5636" max="5636" width="12.5703125" style="5" customWidth="1"/>
    <col min="5637" max="5639" width="13" style="5" customWidth="1"/>
    <col min="5640" max="5640" width="14.7109375" style="5" customWidth="1"/>
    <col min="5641" max="5644" width="9.28515625" style="5" hidden="1" customWidth="1"/>
    <col min="5645" max="5648" width="11.28515625" style="5" customWidth="1"/>
    <col min="5649" max="5649" width="19.7109375" style="5" customWidth="1"/>
    <col min="5650" max="5888" width="8.7109375" style="5"/>
    <col min="5889" max="5889" width="10.42578125" style="5" bestFit="1" customWidth="1"/>
    <col min="5890" max="5890" width="13.42578125" style="5" customWidth="1"/>
    <col min="5891" max="5891" width="12.42578125" style="5" customWidth="1"/>
    <col min="5892" max="5892" width="12.5703125" style="5" customWidth="1"/>
    <col min="5893" max="5895" width="13" style="5" customWidth="1"/>
    <col min="5896" max="5896" width="14.7109375" style="5" customWidth="1"/>
    <col min="5897" max="5900" width="9.28515625" style="5" hidden="1" customWidth="1"/>
    <col min="5901" max="5904" width="11.28515625" style="5" customWidth="1"/>
    <col min="5905" max="5905" width="19.7109375" style="5" customWidth="1"/>
    <col min="5906" max="6144" width="8.7109375" style="5"/>
    <col min="6145" max="6145" width="10.42578125" style="5" bestFit="1" customWidth="1"/>
    <col min="6146" max="6146" width="13.42578125" style="5" customWidth="1"/>
    <col min="6147" max="6147" width="12.42578125" style="5" customWidth="1"/>
    <col min="6148" max="6148" width="12.5703125" style="5" customWidth="1"/>
    <col min="6149" max="6151" width="13" style="5" customWidth="1"/>
    <col min="6152" max="6152" width="14.7109375" style="5" customWidth="1"/>
    <col min="6153" max="6156" width="9.28515625" style="5" hidden="1" customWidth="1"/>
    <col min="6157" max="6160" width="11.28515625" style="5" customWidth="1"/>
    <col min="6161" max="6161" width="19.7109375" style="5" customWidth="1"/>
    <col min="6162" max="6400" width="8.7109375" style="5"/>
    <col min="6401" max="6401" width="10.42578125" style="5" bestFit="1" customWidth="1"/>
    <col min="6402" max="6402" width="13.42578125" style="5" customWidth="1"/>
    <col min="6403" max="6403" width="12.42578125" style="5" customWidth="1"/>
    <col min="6404" max="6404" width="12.5703125" style="5" customWidth="1"/>
    <col min="6405" max="6407" width="13" style="5" customWidth="1"/>
    <col min="6408" max="6408" width="14.7109375" style="5" customWidth="1"/>
    <col min="6409" max="6412" width="9.28515625" style="5" hidden="1" customWidth="1"/>
    <col min="6413" max="6416" width="11.28515625" style="5" customWidth="1"/>
    <col min="6417" max="6417" width="19.7109375" style="5" customWidth="1"/>
    <col min="6418" max="6656" width="8.7109375" style="5"/>
    <col min="6657" max="6657" width="10.42578125" style="5" bestFit="1" customWidth="1"/>
    <col min="6658" max="6658" width="13.42578125" style="5" customWidth="1"/>
    <col min="6659" max="6659" width="12.42578125" style="5" customWidth="1"/>
    <col min="6660" max="6660" width="12.5703125" style="5" customWidth="1"/>
    <col min="6661" max="6663" width="13" style="5" customWidth="1"/>
    <col min="6664" max="6664" width="14.7109375" style="5" customWidth="1"/>
    <col min="6665" max="6668" width="9.28515625" style="5" hidden="1" customWidth="1"/>
    <col min="6669" max="6672" width="11.28515625" style="5" customWidth="1"/>
    <col min="6673" max="6673" width="19.7109375" style="5" customWidth="1"/>
    <col min="6674" max="6912" width="8.7109375" style="5"/>
    <col min="6913" max="6913" width="10.42578125" style="5" bestFit="1" customWidth="1"/>
    <col min="6914" max="6914" width="13.42578125" style="5" customWidth="1"/>
    <col min="6915" max="6915" width="12.42578125" style="5" customWidth="1"/>
    <col min="6916" max="6916" width="12.5703125" style="5" customWidth="1"/>
    <col min="6917" max="6919" width="13" style="5" customWidth="1"/>
    <col min="6920" max="6920" width="14.7109375" style="5" customWidth="1"/>
    <col min="6921" max="6924" width="9.28515625" style="5" hidden="1" customWidth="1"/>
    <col min="6925" max="6928" width="11.28515625" style="5" customWidth="1"/>
    <col min="6929" max="6929" width="19.7109375" style="5" customWidth="1"/>
    <col min="6930" max="7168" width="8.7109375" style="5"/>
    <col min="7169" max="7169" width="10.42578125" style="5" bestFit="1" customWidth="1"/>
    <col min="7170" max="7170" width="13.42578125" style="5" customWidth="1"/>
    <col min="7171" max="7171" width="12.42578125" style="5" customWidth="1"/>
    <col min="7172" max="7172" width="12.5703125" style="5" customWidth="1"/>
    <col min="7173" max="7175" width="13" style="5" customWidth="1"/>
    <col min="7176" max="7176" width="14.7109375" style="5" customWidth="1"/>
    <col min="7177" max="7180" width="9.28515625" style="5" hidden="1" customWidth="1"/>
    <col min="7181" max="7184" width="11.28515625" style="5" customWidth="1"/>
    <col min="7185" max="7185" width="19.7109375" style="5" customWidth="1"/>
    <col min="7186" max="7424" width="8.7109375" style="5"/>
    <col min="7425" max="7425" width="10.42578125" style="5" bestFit="1" customWidth="1"/>
    <col min="7426" max="7426" width="13.42578125" style="5" customWidth="1"/>
    <col min="7427" max="7427" width="12.42578125" style="5" customWidth="1"/>
    <col min="7428" max="7428" width="12.5703125" style="5" customWidth="1"/>
    <col min="7429" max="7431" width="13" style="5" customWidth="1"/>
    <col min="7432" max="7432" width="14.7109375" style="5" customWidth="1"/>
    <col min="7433" max="7436" width="9.28515625" style="5" hidden="1" customWidth="1"/>
    <col min="7437" max="7440" width="11.28515625" style="5" customWidth="1"/>
    <col min="7441" max="7441" width="19.7109375" style="5" customWidth="1"/>
    <col min="7442" max="7680" width="8.7109375" style="5"/>
    <col min="7681" max="7681" width="10.42578125" style="5" bestFit="1" customWidth="1"/>
    <col min="7682" max="7682" width="13.42578125" style="5" customWidth="1"/>
    <col min="7683" max="7683" width="12.42578125" style="5" customWidth="1"/>
    <col min="7684" max="7684" width="12.5703125" style="5" customWidth="1"/>
    <col min="7685" max="7687" width="13" style="5" customWidth="1"/>
    <col min="7688" max="7688" width="14.7109375" style="5" customWidth="1"/>
    <col min="7689" max="7692" width="9.28515625" style="5" hidden="1" customWidth="1"/>
    <col min="7693" max="7696" width="11.28515625" style="5" customWidth="1"/>
    <col min="7697" max="7697" width="19.7109375" style="5" customWidth="1"/>
    <col min="7698" max="7936" width="8.7109375" style="5"/>
    <col min="7937" max="7937" width="10.42578125" style="5" bestFit="1" customWidth="1"/>
    <col min="7938" max="7938" width="13.42578125" style="5" customWidth="1"/>
    <col min="7939" max="7939" width="12.42578125" style="5" customWidth="1"/>
    <col min="7940" max="7940" width="12.5703125" style="5" customWidth="1"/>
    <col min="7941" max="7943" width="13" style="5" customWidth="1"/>
    <col min="7944" max="7944" width="14.7109375" style="5" customWidth="1"/>
    <col min="7945" max="7948" width="9.28515625" style="5" hidden="1" customWidth="1"/>
    <col min="7949" max="7952" width="11.28515625" style="5" customWidth="1"/>
    <col min="7953" max="7953" width="19.7109375" style="5" customWidth="1"/>
    <col min="7954" max="8192" width="8.7109375" style="5"/>
    <col min="8193" max="8193" width="10.42578125" style="5" bestFit="1" customWidth="1"/>
    <col min="8194" max="8194" width="13.42578125" style="5" customWidth="1"/>
    <col min="8195" max="8195" width="12.42578125" style="5" customWidth="1"/>
    <col min="8196" max="8196" width="12.5703125" style="5" customWidth="1"/>
    <col min="8197" max="8199" width="13" style="5" customWidth="1"/>
    <col min="8200" max="8200" width="14.7109375" style="5" customWidth="1"/>
    <col min="8201" max="8204" width="9.28515625" style="5" hidden="1" customWidth="1"/>
    <col min="8205" max="8208" width="11.28515625" style="5" customWidth="1"/>
    <col min="8209" max="8209" width="19.7109375" style="5" customWidth="1"/>
    <col min="8210" max="8448" width="8.7109375" style="5"/>
    <col min="8449" max="8449" width="10.42578125" style="5" bestFit="1" customWidth="1"/>
    <col min="8450" max="8450" width="13.42578125" style="5" customWidth="1"/>
    <col min="8451" max="8451" width="12.42578125" style="5" customWidth="1"/>
    <col min="8452" max="8452" width="12.5703125" style="5" customWidth="1"/>
    <col min="8453" max="8455" width="13" style="5" customWidth="1"/>
    <col min="8456" max="8456" width="14.7109375" style="5" customWidth="1"/>
    <col min="8457" max="8460" width="9.28515625" style="5" hidden="1" customWidth="1"/>
    <col min="8461" max="8464" width="11.28515625" style="5" customWidth="1"/>
    <col min="8465" max="8465" width="19.7109375" style="5" customWidth="1"/>
    <col min="8466" max="8704" width="8.7109375" style="5"/>
    <col min="8705" max="8705" width="10.42578125" style="5" bestFit="1" customWidth="1"/>
    <col min="8706" max="8706" width="13.42578125" style="5" customWidth="1"/>
    <col min="8707" max="8707" width="12.42578125" style="5" customWidth="1"/>
    <col min="8708" max="8708" width="12.5703125" style="5" customWidth="1"/>
    <col min="8709" max="8711" width="13" style="5" customWidth="1"/>
    <col min="8712" max="8712" width="14.7109375" style="5" customWidth="1"/>
    <col min="8713" max="8716" width="9.28515625" style="5" hidden="1" customWidth="1"/>
    <col min="8717" max="8720" width="11.28515625" style="5" customWidth="1"/>
    <col min="8721" max="8721" width="19.7109375" style="5" customWidth="1"/>
    <col min="8722" max="8960" width="8.7109375" style="5"/>
    <col min="8961" max="8961" width="10.42578125" style="5" bestFit="1" customWidth="1"/>
    <col min="8962" max="8962" width="13.42578125" style="5" customWidth="1"/>
    <col min="8963" max="8963" width="12.42578125" style="5" customWidth="1"/>
    <col min="8964" max="8964" width="12.5703125" style="5" customWidth="1"/>
    <col min="8965" max="8967" width="13" style="5" customWidth="1"/>
    <col min="8968" max="8968" width="14.7109375" style="5" customWidth="1"/>
    <col min="8969" max="8972" width="9.28515625" style="5" hidden="1" customWidth="1"/>
    <col min="8973" max="8976" width="11.28515625" style="5" customWidth="1"/>
    <col min="8977" max="8977" width="19.7109375" style="5" customWidth="1"/>
    <col min="8978" max="9216" width="8.7109375" style="5"/>
    <col min="9217" max="9217" width="10.42578125" style="5" bestFit="1" customWidth="1"/>
    <col min="9218" max="9218" width="13.42578125" style="5" customWidth="1"/>
    <col min="9219" max="9219" width="12.42578125" style="5" customWidth="1"/>
    <col min="9220" max="9220" width="12.5703125" style="5" customWidth="1"/>
    <col min="9221" max="9223" width="13" style="5" customWidth="1"/>
    <col min="9224" max="9224" width="14.7109375" style="5" customWidth="1"/>
    <col min="9225" max="9228" width="9.28515625" style="5" hidden="1" customWidth="1"/>
    <col min="9229" max="9232" width="11.28515625" style="5" customWidth="1"/>
    <col min="9233" max="9233" width="19.7109375" style="5" customWidth="1"/>
    <col min="9234" max="9472" width="8.7109375" style="5"/>
    <col min="9473" max="9473" width="10.42578125" style="5" bestFit="1" customWidth="1"/>
    <col min="9474" max="9474" width="13.42578125" style="5" customWidth="1"/>
    <col min="9475" max="9475" width="12.42578125" style="5" customWidth="1"/>
    <col min="9476" max="9476" width="12.5703125" style="5" customWidth="1"/>
    <col min="9477" max="9479" width="13" style="5" customWidth="1"/>
    <col min="9480" max="9480" width="14.7109375" style="5" customWidth="1"/>
    <col min="9481" max="9484" width="9.28515625" style="5" hidden="1" customWidth="1"/>
    <col min="9485" max="9488" width="11.28515625" style="5" customWidth="1"/>
    <col min="9489" max="9489" width="19.7109375" style="5" customWidth="1"/>
    <col min="9490" max="9728" width="8.7109375" style="5"/>
    <col min="9729" max="9729" width="10.42578125" style="5" bestFit="1" customWidth="1"/>
    <col min="9730" max="9730" width="13.42578125" style="5" customWidth="1"/>
    <col min="9731" max="9731" width="12.42578125" style="5" customWidth="1"/>
    <col min="9732" max="9732" width="12.5703125" style="5" customWidth="1"/>
    <col min="9733" max="9735" width="13" style="5" customWidth="1"/>
    <col min="9736" max="9736" width="14.7109375" style="5" customWidth="1"/>
    <col min="9737" max="9740" width="9.28515625" style="5" hidden="1" customWidth="1"/>
    <col min="9741" max="9744" width="11.28515625" style="5" customWidth="1"/>
    <col min="9745" max="9745" width="19.7109375" style="5" customWidth="1"/>
    <col min="9746" max="9984" width="8.7109375" style="5"/>
    <col min="9985" max="9985" width="10.42578125" style="5" bestFit="1" customWidth="1"/>
    <col min="9986" max="9986" width="13.42578125" style="5" customWidth="1"/>
    <col min="9987" max="9987" width="12.42578125" style="5" customWidth="1"/>
    <col min="9988" max="9988" width="12.5703125" style="5" customWidth="1"/>
    <col min="9989" max="9991" width="13" style="5" customWidth="1"/>
    <col min="9992" max="9992" width="14.7109375" style="5" customWidth="1"/>
    <col min="9993" max="9996" width="9.28515625" style="5" hidden="1" customWidth="1"/>
    <col min="9997" max="10000" width="11.28515625" style="5" customWidth="1"/>
    <col min="10001" max="10001" width="19.7109375" style="5" customWidth="1"/>
    <col min="10002" max="10240" width="8.7109375" style="5"/>
    <col min="10241" max="10241" width="10.42578125" style="5" bestFit="1" customWidth="1"/>
    <col min="10242" max="10242" width="13.42578125" style="5" customWidth="1"/>
    <col min="10243" max="10243" width="12.42578125" style="5" customWidth="1"/>
    <col min="10244" max="10244" width="12.5703125" style="5" customWidth="1"/>
    <col min="10245" max="10247" width="13" style="5" customWidth="1"/>
    <col min="10248" max="10248" width="14.7109375" style="5" customWidth="1"/>
    <col min="10249" max="10252" width="9.28515625" style="5" hidden="1" customWidth="1"/>
    <col min="10253" max="10256" width="11.28515625" style="5" customWidth="1"/>
    <col min="10257" max="10257" width="19.7109375" style="5" customWidth="1"/>
    <col min="10258" max="10496" width="8.7109375" style="5"/>
    <col min="10497" max="10497" width="10.42578125" style="5" bestFit="1" customWidth="1"/>
    <col min="10498" max="10498" width="13.42578125" style="5" customWidth="1"/>
    <col min="10499" max="10499" width="12.42578125" style="5" customWidth="1"/>
    <col min="10500" max="10500" width="12.5703125" style="5" customWidth="1"/>
    <col min="10501" max="10503" width="13" style="5" customWidth="1"/>
    <col min="10504" max="10504" width="14.7109375" style="5" customWidth="1"/>
    <col min="10505" max="10508" width="9.28515625" style="5" hidden="1" customWidth="1"/>
    <col min="10509" max="10512" width="11.28515625" style="5" customWidth="1"/>
    <col min="10513" max="10513" width="19.7109375" style="5" customWidth="1"/>
    <col min="10514" max="10752" width="8.7109375" style="5"/>
    <col min="10753" max="10753" width="10.42578125" style="5" bestFit="1" customWidth="1"/>
    <col min="10754" max="10754" width="13.42578125" style="5" customWidth="1"/>
    <col min="10755" max="10755" width="12.42578125" style="5" customWidth="1"/>
    <col min="10756" max="10756" width="12.5703125" style="5" customWidth="1"/>
    <col min="10757" max="10759" width="13" style="5" customWidth="1"/>
    <col min="10760" max="10760" width="14.7109375" style="5" customWidth="1"/>
    <col min="10761" max="10764" width="9.28515625" style="5" hidden="1" customWidth="1"/>
    <col min="10765" max="10768" width="11.28515625" style="5" customWidth="1"/>
    <col min="10769" max="10769" width="19.7109375" style="5" customWidth="1"/>
    <col min="10770" max="11008" width="8.7109375" style="5"/>
    <col min="11009" max="11009" width="10.42578125" style="5" bestFit="1" customWidth="1"/>
    <col min="11010" max="11010" width="13.42578125" style="5" customWidth="1"/>
    <col min="11011" max="11011" width="12.42578125" style="5" customWidth="1"/>
    <col min="11012" max="11012" width="12.5703125" style="5" customWidth="1"/>
    <col min="11013" max="11015" width="13" style="5" customWidth="1"/>
    <col min="11016" max="11016" width="14.7109375" style="5" customWidth="1"/>
    <col min="11017" max="11020" width="9.28515625" style="5" hidden="1" customWidth="1"/>
    <col min="11021" max="11024" width="11.28515625" style="5" customWidth="1"/>
    <col min="11025" max="11025" width="19.7109375" style="5" customWidth="1"/>
    <col min="11026" max="11264" width="8.7109375" style="5"/>
    <col min="11265" max="11265" width="10.42578125" style="5" bestFit="1" customWidth="1"/>
    <col min="11266" max="11266" width="13.42578125" style="5" customWidth="1"/>
    <col min="11267" max="11267" width="12.42578125" style="5" customWidth="1"/>
    <col min="11268" max="11268" width="12.5703125" style="5" customWidth="1"/>
    <col min="11269" max="11271" width="13" style="5" customWidth="1"/>
    <col min="11272" max="11272" width="14.7109375" style="5" customWidth="1"/>
    <col min="11273" max="11276" width="9.28515625" style="5" hidden="1" customWidth="1"/>
    <col min="11277" max="11280" width="11.28515625" style="5" customWidth="1"/>
    <col min="11281" max="11281" width="19.7109375" style="5" customWidth="1"/>
    <col min="11282" max="11520" width="8.7109375" style="5"/>
    <col min="11521" max="11521" width="10.42578125" style="5" bestFit="1" customWidth="1"/>
    <col min="11522" max="11522" width="13.42578125" style="5" customWidth="1"/>
    <col min="11523" max="11523" width="12.42578125" style="5" customWidth="1"/>
    <col min="11524" max="11524" width="12.5703125" style="5" customWidth="1"/>
    <col min="11525" max="11527" width="13" style="5" customWidth="1"/>
    <col min="11528" max="11528" width="14.7109375" style="5" customWidth="1"/>
    <col min="11529" max="11532" width="9.28515625" style="5" hidden="1" customWidth="1"/>
    <col min="11533" max="11536" width="11.28515625" style="5" customWidth="1"/>
    <col min="11537" max="11537" width="19.7109375" style="5" customWidth="1"/>
    <col min="11538" max="11776" width="8.7109375" style="5"/>
    <col min="11777" max="11777" width="10.42578125" style="5" bestFit="1" customWidth="1"/>
    <col min="11778" max="11778" width="13.42578125" style="5" customWidth="1"/>
    <col min="11779" max="11779" width="12.42578125" style="5" customWidth="1"/>
    <col min="11780" max="11780" width="12.5703125" style="5" customWidth="1"/>
    <col min="11781" max="11783" width="13" style="5" customWidth="1"/>
    <col min="11784" max="11784" width="14.7109375" style="5" customWidth="1"/>
    <col min="11785" max="11788" width="9.28515625" style="5" hidden="1" customWidth="1"/>
    <col min="11789" max="11792" width="11.28515625" style="5" customWidth="1"/>
    <col min="11793" max="11793" width="19.7109375" style="5" customWidth="1"/>
    <col min="11794" max="12032" width="8.7109375" style="5"/>
    <col min="12033" max="12033" width="10.42578125" style="5" bestFit="1" customWidth="1"/>
    <col min="12034" max="12034" width="13.42578125" style="5" customWidth="1"/>
    <col min="12035" max="12035" width="12.42578125" style="5" customWidth="1"/>
    <col min="12036" max="12036" width="12.5703125" style="5" customWidth="1"/>
    <col min="12037" max="12039" width="13" style="5" customWidth="1"/>
    <col min="12040" max="12040" width="14.7109375" style="5" customWidth="1"/>
    <col min="12041" max="12044" width="9.28515625" style="5" hidden="1" customWidth="1"/>
    <col min="12045" max="12048" width="11.28515625" style="5" customWidth="1"/>
    <col min="12049" max="12049" width="19.7109375" style="5" customWidth="1"/>
    <col min="12050" max="12288" width="8.7109375" style="5"/>
    <col min="12289" max="12289" width="10.42578125" style="5" bestFit="1" customWidth="1"/>
    <col min="12290" max="12290" width="13.42578125" style="5" customWidth="1"/>
    <col min="12291" max="12291" width="12.42578125" style="5" customWidth="1"/>
    <col min="12292" max="12292" width="12.5703125" style="5" customWidth="1"/>
    <col min="12293" max="12295" width="13" style="5" customWidth="1"/>
    <col min="12296" max="12296" width="14.7109375" style="5" customWidth="1"/>
    <col min="12297" max="12300" width="9.28515625" style="5" hidden="1" customWidth="1"/>
    <col min="12301" max="12304" width="11.28515625" style="5" customWidth="1"/>
    <col min="12305" max="12305" width="19.7109375" style="5" customWidth="1"/>
    <col min="12306" max="12544" width="8.7109375" style="5"/>
    <col min="12545" max="12545" width="10.42578125" style="5" bestFit="1" customWidth="1"/>
    <col min="12546" max="12546" width="13.42578125" style="5" customWidth="1"/>
    <col min="12547" max="12547" width="12.42578125" style="5" customWidth="1"/>
    <col min="12548" max="12548" width="12.5703125" style="5" customWidth="1"/>
    <col min="12549" max="12551" width="13" style="5" customWidth="1"/>
    <col min="12552" max="12552" width="14.7109375" style="5" customWidth="1"/>
    <col min="12553" max="12556" width="9.28515625" style="5" hidden="1" customWidth="1"/>
    <col min="12557" max="12560" width="11.28515625" style="5" customWidth="1"/>
    <col min="12561" max="12561" width="19.7109375" style="5" customWidth="1"/>
    <col min="12562" max="12800" width="8.7109375" style="5"/>
    <col min="12801" max="12801" width="10.42578125" style="5" bestFit="1" customWidth="1"/>
    <col min="12802" max="12802" width="13.42578125" style="5" customWidth="1"/>
    <col min="12803" max="12803" width="12.42578125" style="5" customWidth="1"/>
    <col min="12804" max="12804" width="12.5703125" style="5" customWidth="1"/>
    <col min="12805" max="12807" width="13" style="5" customWidth="1"/>
    <col min="12808" max="12808" width="14.7109375" style="5" customWidth="1"/>
    <col min="12809" max="12812" width="9.28515625" style="5" hidden="1" customWidth="1"/>
    <col min="12813" max="12816" width="11.28515625" style="5" customWidth="1"/>
    <col min="12817" max="12817" width="19.7109375" style="5" customWidth="1"/>
    <col min="12818" max="13056" width="8.7109375" style="5"/>
    <col min="13057" max="13057" width="10.42578125" style="5" bestFit="1" customWidth="1"/>
    <col min="13058" max="13058" width="13.42578125" style="5" customWidth="1"/>
    <col min="13059" max="13059" width="12.42578125" style="5" customWidth="1"/>
    <col min="13060" max="13060" width="12.5703125" style="5" customWidth="1"/>
    <col min="13061" max="13063" width="13" style="5" customWidth="1"/>
    <col min="13064" max="13064" width="14.7109375" style="5" customWidth="1"/>
    <col min="13065" max="13068" width="9.28515625" style="5" hidden="1" customWidth="1"/>
    <col min="13069" max="13072" width="11.28515625" style="5" customWidth="1"/>
    <col min="13073" max="13073" width="19.7109375" style="5" customWidth="1"/>
    <col min="13074" max="13312" width="8.7109375" style="5"/>
    <col min="13313" max="13313" width="10.42578125" style="5" bestFit="1" customWidth="1"/>
    <col min="13314" max="13314" width="13.42578125" style="5" customWidth="1"/>
    <col min="13315" max="13315" width="12.42578125" style="5" customWidth="1"/>
    <col min="13316" max="13316" width="12.5703125" style="5" customWidth="1"/>
    <col min="13317" max="13319" width="13" style="5" customWidth="1"/>
    <col min="13320" max="13320" width="14.7109375" style="5" customWidth="1"/>
    <col min="13321" max="13324" width="9.28515625" style="5" hidden="1" customWidth="1"/>
    <col min="13325" max="13328" width="11.28515625" style="5" customWidth="1"/>
    <col min="13329" max="13329" width="19.7109375" style="5" customWidth="1"/>
    <col min="13330" max="13568" width="8.7109375" style="5"/>
    <col min="13569" max="13569" width="10.42578125" style="5" bestFit="1" customWidth="1"/>
    <col min="13570" max="13570" width="13.42578125" style="5" customWidth="1"/>
    <col min="13571" max="13571" width="12.42578125" style="5" customWidth="1"/>
    <col min="13572" max="13572" width="12.5703125" style="5" customWidth="1"/>
    <col min="13573" max="13575" width="13" style="5" customWidth="1"/>
    <col min="13576" max="13576" width="14.7109375" style="5" customWidth="1"/>
    <col min="13577" max="13580" width="9.28515625" style="5" hidden="1" customWidth="1"/>
    <col min="13581" max="13584" width="11.28515625" style="5" customWidth="1"/>
    <col min="13585" max="13585" width="19.7109375" style="5" customWidth="1"/>
    <col min="13586" max="13824" width="8.7109375" style="5"/>
    <col min="13825" max="13825" width="10.42578125" style="5" bestFit="1" customWidth="1"/>
    <col min="13826" max="13826" width="13.42578125" style="5" customWidth="1"/>
    <col min="13827" max="13827" width="12.42578125" style="5" customWidth="1"/>
    <col min="13828" max="13828" width="12.5703125" style="5" customWidth="1"/>
    <col min="13829" max="13831" width="13" style="5" customWidth="1"/>
    <col min="13832" max="13832" width="14.7109375" style="5" customWidth="1"/>
    <col min="13833" max="13836" width="9.28515625" style="5" hidden="1" customWidth="1"/>
    <col min="13837" max="13840" width="11.28515625" style="5" customWidth="1"/>
    <col min="13841" max="13841" width="19.7109375" style="5" customWidth="1"/>
    <col min="13842" max="14080" width="8.7109375" style="5"/>
    <col min="14081" max="14081" width="10.42578125" style="5" bestFit="1" customWidth="1"/>
    <col min="14082" max="14082" width="13.42578125" style="5" customWidth="1"/>
    <col min="14083" max="14083" width="12.42578125" style="5" customWidth="1"/>
    <col min="14084" max="14084" width="12.5703125" style="5" customWidth="1"/>
    <col min="14085" max="14087" width="13" style="5" customWidth="1"/>
    <col min="14088" max="14088" width="14.7109375" style="5" customWidth="1"/>
    <col min="14089" max="14092" width="9.28515625" style="5" hidden="1" customWidth="1"/>
    <col min="14093" max="14096" width="11.28515625" style="5" customWidth="1"/>
    <col min="14097" max="14097" width="19.7109375" style="5" customWidth="1"/>
    <col min="14098" max="14336" width="8.7109375" style="5"/>
    <col min="14337" max="14337" width="10.42578125" style="5" bestFit="1" customWidth="1"/>
    <col min="14338" max="14338" width="13.42578125" style="5" customWidth="1"/>
    <col min="14339" max="14339" width="12.42578125" style="5" customWidth="1"/>
    <col min="14340" max="14340" width="12.5703125" style="5" customWidth="1"/>
    <col min="14341" max="14343" width="13" style="5" customWidth="1"/>
    <col min="14344" max="14344" width="14.7109375" style="5" customWidth="1"/>
    <col min="14345" max="14348" width="9.28515625" style="5" hidden="1" customWidth="1"/>
    <col min="14349" max="14352" width="11.28515625" style="5" customWidth="1"/>
    <col min="14353" max="14353" width="19.7109375" style="5" customWidth="1"/>
    <col min="14354" max="14592" width="8.7109375" style="5"/>
    <col min="14593" max="14593" width="10.42578125" style="5" bestFit="1" customWidth="1"/>
    <col min="14594" max="14594" width="13.42578125" style="5" customWidth="1"/>
    <col min="14595" max="14595" width="12.42578125" style="5" customWidth="1"/>
    <col min="14596" max="14596" width="12.5703125" style="5" customWidth="1"/>
    <col min="14597" max="14599" width="13" style="5" customWidth="1"/>
    <col min="14600" max="14600" width="14.7109375" style="5" customWidth="1"/>
    <col min="14601" max="14604" width="9.28515625" style="5" hidden="1" customWidth="1"/>
    <col min="14605" max="14608" width="11.28515625" style="5" customWidth="1"/>
    <col min="14609" max="14609" width="19.7109375" style="5" customWidth="1"/>
    <col min="14610" max="14848" width="8.7109375" style="5"/>
    <col min="14849" max="14849" width="10.42578125" style="5" bestFit="1" customWidth="1"/>
    <col min="14850" max="14850" width="13.42578125" style="5" customWidth="1"/>
    <col min="14851" max="14851" width="12.42578125" style="5" customWidth="1"/>
    <col min="14852" max="14852" width="12.5703125" style="5" customWidth="1"/>
    <col min="14853" max="14855" width="13" style="5" customWidth="1"/>
    <col min="14856" max="14856" width="14.7109375" style="5" customWidth="1"/>
    <col min="14857" max="14860" width="9.28515625" style="5" hidden="1" customWidth="1"/>
    <col min="14861" max="14864" width="11.28515625" style="5" customWidth="1"/>
    <col min="14865" max="14865" width="19.7109375" style="5" customWidth="1"/>
    <col min="14866" max="15104" width="8.7109375" style="5"/>
    <col min="15105" max="15105" width="10.42578125" style="5" bestFit="1" customWidth="1"/>
    <col min="15106" max="15106" width="13.42578125" style="5" customWidth="1"/>
    <col min="15107" max="15107" width="12.42578125" style="5" customWidth="1"/>
    <col min="15108" max="15108" width="12.5703125" style="5" customWidth="1"/>
    <col min="15109" max="15111" width="13" style="5" customWidth="1"/>
    <col min="15112" max="15112" width="14.7109375" style="5" customWidth="1"/>
    <col min="15113" max="15116" width="9.28515625" style="5" hidden="1" customWidth="1"/>
    <col min="15117" max="15120" width="11.28515625" style="5" customWidth="1"/>
    <col min="15121" max="15121" width="19.7109375" style="5" customWidth="1"/>
    <col min="15122" max="15360" width="8.7109375" style="5"/>
    <col min="15361" max="15361" width="10.42578125" style="5" bestFit="1" customWidth="1"/>
    <col min="15362" max="15362" width="13.42578125" style="5" customWidth="1"/>
    <col min="15363" max="15363" width="12.42578125" style="5" customWidth="1"/>
    <col min="15364" max="15364" width="12.5703125" style="5" customWidth="1"/>
    <col min="15365" max="15367" width="13" style="5" customWidth="1"/>
    <col min="15368" max="15368" width="14.7109375" style="5" customWidth="1"/>
    <col min="15369" max="15372" width="9.28515625" style="5" hidden="1" customWidth="1"/>
    <col min="15373" max="15376" width="11.28515625" style="5" customWidth="1"/>
    <col min="15377" max="15377" width="19.7109375" style="5" customWidth="1"/>
    <col min="15378" max="15616" width="8.7109375" style="5"/>
    <col min="15617" max="15617" width="10.42578125" style="5" bestFit="1" customWidth="1"/>
    <col min="15618" max="15618" width="13.42578125" style="5" customWidth="1"/>
    <col min="15619" max="15619" width="12.42578125" style="5" customWidth="1"/>
    <col min="15620" max="15620" width="12.5703125" style="5" customWidth="1"/>
    <col min="15621" max="15623" width="13" style="5" customWidth="1"/>
    <col min="15624" max="15624" width="14.7109375" style="5" customWidth="1"/>
    <col min="15625" max="15628" width="9.28515625" style="5" hidden="1" customWidth="1"/>
    <col min="15629" max="15632" width="11.28515625" style="5" customWidth="1"/>
    <col min="15633" max="15633" width="19.7109375" style="5" customWidth="1"/>
    <col min="15634" max="15872" width="8.7109375" style="5"/>
    <col min="15873" max="15873" width="10.42578125" style="5" bestFit="1" customWidth="1"/>
    <col min="15874" max="15874" width="13.42578125" style="5" customWidth="1"/>
    <col min="15875" max="15875" width="12.42578125" style="5" customWidth="1"/>
    <col min="15876" max="15876" width="12.5703125" style="5" customWidth="1"/>
    <col min="15877" max="15879" width="13" style="5" customWidth="1"/>
    <col min="15880" max="15880" width="14.7109375" style="5" customWidth="1"/>
    <col min="15881" max="15884" width="9.28515625" style="5" hidden="1" customWidth="1"/>
    <col min="15885" max="15888" width="11.28515625" style="5" customWidth="1"/>
    <col min="15889" max="15889" width="19.7109375" style="5" customWidth="1"/>
    <col min="15890" max="16128" width="8.7109375" style="5"/>
    <col min="16129" max="16129" width="10.42578125" style="5" bestFit="1" customWidth="1"/>
    <col min="16130" max="16130" width="13.42578125" style="5" customWidth="1"/>
    <col min="16131" max="16131" width="12.42578125" style="5" customWidth="1"/>
    <col min="16132" max="16132" width="12.5703125" style="5" customWidth="1"/>
    <col min="16133" max="16135" width="13" style="5" customWidth="1"/>
    <col min="16136" max="16136" width="14.7109375" style="5" customWidth="1"/>
    <col min="16137" max="16140" width="9.28515625" style="5" hidden="1" customWidth="1"/>
    <col min="16141" max="16144" width="11.28515625" style="5" customWidth="1"/>
    <col min="16145" max="16145" width="19.7109375" style="5" customWidth="1"/>
    <col min="16146" max="16384" width="8.7109375" style="5"/>
  </cols>
  <sheetData>
    <row r="1" spans="1:24" ht="13.5" thickBot="1">
      <c r="A1" s="1" t="s">
        <v>0</v>
      </c>
      <c r="B1" s="205" t="s">
        <v>60</v>
      </c>
      <c r="C1" s="205"/>
      <c r="D1" s="1" t="s">
        <v>1</v>
      </c>
      <c r="E1" s="2">
        <v>12</v>
      </c>
      <c r="F1" s="3" t="s">
        <v>2</v>
      </c>
      <c r="G1" s="73">
        <v>39310</v>
      </c>
      <c r="J1" s="208" t="s">
        <v>3</v>
      </c>
      <c r="K1" s="208"/>
    </row>
    <row r="2" spans="1:24">
      <c r="A2" s="1" t="s">
        <v>4</v>
      </c>
      <c r="B2" s="206">
        <v>299422366</v>
      </c>
      <c r="C2" s="206"/>
      <c r="E2" s="6"/>
      <c r="F2" s="3" t="s">
        <v>5</v>
      </c>
      <c r="G2" s="73">
        <v>19026</v>
      </c>
      <c r="I2" s="7">
        <v>2007</v>
      </c>
      <c r="J2" s="11">
        <v>2007</v>
      </c>
      <c r="K2" s="11">
        <v>2007</v>
      </c>
      <c r="M2" s="8">
        <v>57000</v>
      </c>
      <c r="N2" s="9"/>
      <c r="O2" s="9"/>
      <c r="P2" s="8">
        <v>19500</v>
      </c>
      <c r="Q2" s="10"/>
    </row>
    <row r="3" spans="1:24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3" t="s">
        <v>11</v>
      </c>
      <c r="G3" s="36">
        <f>G4*E1</f>
        <v>55161.600000000006</v>
      </c>
      <c r="H3" s="49"/>
      <c r="I3" s="12" t="s">
        <v>12</v>
      </c>
      <c r="J3" s="13" t="s">
        <v>13</v>
      </c>
      <c r="K3" s="13" t="s">
        <v>13</v>
      </c>
      <c r="M3" s="14">
        <f>-C30*2</f>
        <v>-5038.800000000002</v>
      </c>
      <c r="P3" s="14">
        <v>0</v>
      </c>
      <c r="Q3" s="15" t="s">
        <v>14</v>
      </c>
      <c r="S3" s="16"/>
    </row>
    <row r="4" spans="1:24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3" t="s">
        <v>17</v>
      </c>
      <c r="G4" s="75">
        <v>4596.8</v>
      </c>
      <c r="H4" s="49"/>
      <c r="I4" s="12" t="s">
        <v>16</v>
      </c>
      <c r="J4" s="13" t="s">
        <v>18</v>
      </c>
      <c r="K4" s="13" t="s">
        <v>19</v>
      </c>
      <c r="M4" s="19">
        <f>SUM(M2:M3)</f>
        <v>51961.2</v>
      </c>
      <c r="N4" s="20" t="s">
        <v>44</v>
      </c>
      <c r="O4" s="20"/>
      <c r="P4" s="14">
        <v>6500</v>
      </c>
      <c r="Q4" s="15" t="s">
        <v>20</v>
      </c>
      <c r="S4" s="16"/>
    </row>
    <row r="5" spans="1:24">
      <c r="A5" s="21" t="s">
        <v>21</v>
      </c>
      <c r="B5" s="21" t="s">
        <v>22</v>
      </c>
      <c r="C5" s="21" t="s">
        <v>23</v>
      </c>
      <c r="D5" s="21" t="s">
        <v>24</v>
      </c>
      <c r="E5" s="21" t="s">
        <v>25</v>
      </c>
      <c r="F5" s="3" t="s">
        <v>26</v>
      </c>
      <c r="G5" s="36">
        <f>G4/2</f>
        <v>2298.4</v>
      </c>
      <c r="H5" s="49"/>
      <c r="I5" s="22" t="s">
        <v>27</v>
      </c>
      <c r="J5" s="21" t="s">
        <v>28</v>
      </c>
      <c r="K5" s="21" t="s">
        <v>28</v>
      </c>
      <c r="P5" s="14">
        <f>-C31</f>
        <v>-629.85000000000025</v>
      </c>
      <c r="Q5" s="15" t="s">
        <v>29</v>
      </c>
      <c r="S5" s="16"/>
    </row>
    <row r="6" spans="1:24" ht="13.5" thickBot="1">
      <c r="A6" s="23">
        <v>40553</v>
      </c>
      <c r="B6" s="24">
        <v>2210</v>
      </c>
      <c r="C6" s="25">
        <f>B6*0.1</f>
        <v>221</v>
      </c>
      <c r="D6" s="26">
        <f>C6</f>
        <v>221</v>
      </c>
      <c r="E6" s="27">
        <v>600</v>
      </c>
      <c r="G6" s="16"/>
      <c r="H6" s="28"/>
      <c r="I6" s="29" t="e">
        <f>IF(#REF!/5&gt;$E$6,E6,(#REF!/5))</f>
        <v>#REF!</v>
      </c>
      <c r="J6" s="30" t="e">
        <f>#REF!/5</f>
        <v>#REF!</v>
      </c>
      <c r="K6" s="30" t="e">
        <f>#REF!/5 +E6</f>
        <v>#REF!</v>
      </c>
      <c r="M6" s="76" t="s">
        <v>110</v>
      </c>
      <c r="N6" s="77"/>
      <c r="O6" s="77"/>
      <c r="P6" s="19">
        <f>SUM(P2:P5)</f>
        <v>25370.15</v>
      </c>
      <c r="Q6" s="32" t="s">
        <v>93</v>
      </c>
      <c r="S6" s="16"/>
    </row>
    <row r="7" spans="1:24" ht="13.5" thickBot="1">
      <c r="A7" s="23">
        <v>40568</v>
      </c>
      <c r="B7" s="24">
        <v>2298.4</v>
      </c>
      <c r="C7" s="25">
        <f>B7*0.1</f>
        <v>229.84000000000003</v>
      </c>
      <c r="D7" s="26">
        <f t="shared" ref="D7:D29" si="0">C7</f>
        <v>229.84000000000003</v>
      </c>
      <c r="E7" s="27">
        <v>650</v>
      </c>
      <c r="G7" s="16"/>
      <c r="H7" s="28"/>
      <c r="I7" s="29" t="e">
        <f>IF(#REF!/5&gt;$E$6,#REF!,(#REF!/5))</f>
        <v>#REF!</v>
      </c>
      <c r="J7" s="30" t="e">
        <f>#REF!/5</f>
        <v>#REF!</v>
      </c>
      <c r="K7" s="30" t="e">
        <f>#REF!/5 +#REF!</f>
        <v>#REF!</v>
      </c>
      <c r="M7" s="76" t="s">
        <v>107</v>
      </c>
      <c r="N7" s="77"/>
      <c r="O7" s="77"/>
      <c r="P7" s="78" t="s">
        <v>45</v>
      </c>
      <c r="Q7" s="79"/>
      <c r="S7" s="16"/>
    </row>
    <row r="8" spans="1:24">
      <c r="A8" s="23">
        <v>40584</v>
      </c>
      <c r="B8" s="24">
        <v>2298.4</v>
      </c>
      <c r="C8" s="25">
        <f t="shared" ref="C8:C29" si="1">B8*0.1</f>
        <v>229.84000000000003</v>
      </c>
      <c r="D8" s="26">
        <f t="shared" si="0"/>
        <v>229.84000000000003</v>
      </c>
      <c r="E8" s="27">
        <v>650</v>
      </c>
      <c r="G8" s="16"/>
      <c r="H8" s="28"/>
      <c r="I8" s="29" t="e">
        <f>IF(#REF!/5&gt;$E$6,E10,(#REF!/5))</f>
        <v>#REF!</v>
      </c>
      <c r="J8" s="30" t="e">
        <f>#REF!/5</f>
        <v>#REF!</v>
      </c>
      <c r="K8" s="30" t="e">
        <f>#REF!/5+E10</f>
        <v>#REF!</v>
      </c>
      <c r="M8" s="31"/>
      <c r="P8" s="33">
        <f>M4</f>
        <v>51961.2</v>
      </c>
      <c r="Q8" s="34" t="s">
        <v>101</v>
      </c>
      <c r="S8" s="16"/>
    </row>
    <row r="9" spans="1:24">
      <c r="A9" s="23">
        <v>40599</v>
      </c>
      <c r="B9" s="24">
        <v>2298.4</v>
      </c>
      <c r="C9" s="25">
        <f t="shared" si="1"/>
        <v>229.84000000000003</v>
      </c>
      <c r="D9" s="26">
        <f t="shared" si="0"/>
        <v>229.84000000000003</v>
      </c>
      <c r="E9" s="27">
        <v>475</v>
      </c>
      <c r="G9" s="16"/>
      <c r="H9" s="28"/>
      <c r="I9" s="29" t="e">
        <f>IF(#REF!/5&gt;$E$6,E11,(#REF!/5))</f>
        <v>#REF!</v>
      </c>
      <c r="J9" s="30" t="e">
        <f>#REF!/5</f>
        <v>#REF!</v>
      </c>
      <c r="K9" s="30" t="e">
        <f>#REF!/5+E10</f>
        <v>#REF!</v>
      </c>
      <c r="M9" s="35"/>
      <c r="N9" s="36"/>
      <c r="O9" s="36"/>
      <c r="P9" s="14">
        <v>0</v>
      </c>
      <c r="Q9" s="15" t="s">
        <v>14</v>
      </c>
      <c r="S9" s="16"/>
    </row>
    <row r="10" spans="1:24">
      <c r="A10" s="23">
        <v>40612</v>
      </c>
      <c r="B10" s="24">
        <v>2298.4</v>
      </c>
      <c r="C10" s="25">
        <f t="shared" si="1"/>
        <v>229.84000000000003</v>
      </c>
      <c r="D10" s="26">
        <f t="shared" si="0"/>
        <v>229.84000000000003</v>
      </c>
      <c r="E10" s="27">
        <v>475</v>
      </c>
      <c r="P10" s="14">
        <v>6500</v>
      </c>
      <c r="Q10" s="15" t="s">
        <v>20</v>
      </c>
      <c r="S10" s="16"/>
    </row>
    <row r="11" spans="1:24" ht="13.5" thickBot="1">
      <c r="A11" s="23">
        <v>40627</v>
      </c>
      <c r="B11" s="24">
        <v>2298.4</v>
      </c>
      <c r="C11" s="25">
        <f t="shared" si="1"/>
        <v>229.84000000000003</v>
      </c>
      <c r="D11" s="26">
        <f t="shared" si="0"/>
        <v>229.84000000000003</v>
      </c>
      <c r="E11" s="27">
        <v>475</v>
      </c>
      <c r="G11" s="80" t="s">
        <v>96</v>
      </c>
      <c r="H11" s="81"/>
      <c r="I11" s="82"/>
      <c r="J11" s="83"/>
      <c r="K11" s="83"/>
      <c r="L11" s="84"/>
      <c r="M11" s="85"/>
      <c r="N11" s="86"/>
      <c r="O11" s="84"/>
      <c r="P11" s="19">
        <f>SUM(P8:P10)</f>
        <v>58461.2</v>
      </c>
      <c r="Q11" s="37"/>
      <c r="S11" s="41"/>
    </row>
    <row r="12" spans="1:24" ht="13.5" thickBot="1">
      <c r="A12" s="23">
        <v>40643</v>
      </c>
      <c r="B12" s="24">
        <v>2298.4</v>
      </c>
      <c r="C12" s="25">
        <f t="shared" si="1"/>
        <v>229.84000000000003</v>
      </c>
      <c r="D12" s="26">
        <f t="shared" si="0"/>
        <v>229.84000000000003</v>
      </c>
      <c r="E12" s="27">
        <v>475</v>
      </c>
      <c r="G12" s="80" t="s">
        <v>97</v>
      </c>
      <c r="H12" s="81"/>
      <c r="I12" s="87"/>
      <c r="J12" s="88"/>
      <c r="K12" s="88"/>
      <c r="L12" s="84"/>
      <c r="M12" s="85"/>
      <c r="N12" s="86"/>
      <c r="O12" s="84"/>
      <c r="P12" s="38"/>
      <c r="Q12" s="39"/>
      <c r="S12" s="31"/>
      <c r="U12" s="89"/>
    </row>
    <row r="13" spans="1:24" ht="13.5" thickBot="1">
      <c r="A13" s="23">
        <v>40658</v>
      </c>
      <c r="B13" s="24">
        <v>2298.4</v>
      </c>
      <c r="C13" s="25">
        <f t="shared" si="1"/>
        <v>229.84000000000003</v>
      </c>
      <c r="D13" s="26">
        <f t="shared" si="0"/>
        <v>229.84000000000003</v>
      </c>
      <c r="E13" s="27">
        <v>475</v>
      </c>
      <c r="G13" s="80" t="s">
        <v>98</v>
      </c>
      <c r="H13" s="84"/>
      <c r="I13" s="87"/>
      <c r="J13" s="88"/>
      <c r="K13" s="90"/>
      <c r="L13" s="84"/>
      <c r="M13" s="85"/>
      <c r="N13" s="86"/>
      <c r="O13" s="84"/>
      <c r="P13" s="40" t="s">
        <v>30</v>
      </c>
      <c r="Q13" s="10"/>
      <c r="S13" s="89"/>
      <c r="T13" s="89"/>
    </row>
    <row r="14" spans="1:24">
      <c r="A14" s="23">
        <v>40673</v>
      </c>
      <c r="B14" s="24">
        <v>2298.4</v>
      </c>
      <c r="C14" s="25">
        <f t="shared" si="1"/>
        <v>229.84000000000003</v>
      </c>
      <c r="D14" s="26">
        <f t="shared" si="0"/>
        <v>229.84000000000003</v>
      </c>
      <c r="E14" s="27">
        <v>475</v>
      </c>
      <c r="G14" s="80" t="s">
        <v>105</v>
      </c>
      <c r="H14" s="81"/>
      <c r="I14" s="91" t="e">
        <v>#REF!</v>
      </c>
      <c r="J14" s="92" t="e">
        <v>#REF!</v>
      </c>
      <c r="K14" s="92" t="e">
        <v>#REF!</v>
      </c>
      <c r="L14" s="84"/>
      <c r="M14" s="85"/>
      <c r="N14" s="86"/>
      <c r="O14" s="84"/>
      <c r="P14" s="14">
        <f>IF(P11&lt;P6,P11,P6)</f>
        <v>25370.15</v>
      </c>
      <c r="Q14" s="42" t="s">
        <v>31</v>
      </c>
      <c r="S14" s="31"/>
      <c r="T14" s="31"/>
    </row>
    <row r="15" spans="1:24">
      <c r="A15" s="23">
        <v>40688</v>
      </c>
      <c r="B15" s="24">
        <v>2298.4</v>
      </c>
      <c r="C15" s="25">
        <f t="shared" si="1"/>
        <v>229.84000000000003</v>
      </c>
      <c r="D15" s="26">
        <f t="shared" si="0"/>
        <v>229.84000000000003</v>
      </c>
      <c r="E15" s="27">
        <v>475</v>
      </c>
      <c r="I15" s="212" t="e">
        <f>IF(#REF!&gt;=0,IF(#REF!&gt;=0,"SRA OK","SRA need to be adjusted"), "&gt;45K Not eligible for SRA")</f>
        <v>#REF!</v>
      </c>
      <c r="J15" s="213"/>
      <c r="K15" s="214"/>
      <c r="M15" s="44"/>
      <c r="N15" s="41"/>
      <c r="P15" s="14">
        <f t="shared" ref="P15:P38" si="2">P14-E6</f>
        <v>24770.15</v>
      </c>
      <c r="Q15" s="23">
        <v>40553</v>
      </c>
      <c r="S15" s="31"/>
      <c r="T15" s="31">
        <f>4065/2</f>
        <v>2032.5</v>
      </c>
      <c r="W15" s="31">
        <v>11842.2</v>
      </c>
    </row>
    <row r="16" spans="1:24">
      <c r="A16" s="23">
        <v>40704</v>
      </c>
      <c r="B16" s="24">
        <v>2298.4</v>
      </c>
      <c r="C16" s="25">
        <f t="shared" si="1"/>
        <v>229.84000000000003</v>
      </c>
      <c r="D16" s="26">
        <f t="shared" si="0"/>
        <v>229.84000000000003</v>
      </c>
      <c r="E16" s="27">
        <v>475</v>
      </c>
      <c r="F16" s="3"/>
      <c r="I16" s="45"/>
      <c r="J16" s="45"/>
      <c r="K16" s="45"/>
      <c r="L16" s="45"/>
      <c r="M16" s="45"/>
      <c r="N16" s="46"/>
      <c r="O16" s="46"/>
      <c r="P16" s="14">
        <f t="shared" si="2"/>
        <v>24120.15</v>
      </c>
      <c r="Q16" s="23">
        <v>40568</v>
      </c>
      <c r="S16" s="31"/>
      <c r="T16" s="31">
        <f>T15*7.41%</f>
        <v>150.60825</v>
      </c>
      <c r="U16" s="5" t="s">
        <v>52</v>
      </c>
      <c r="W16" s="31">
        <v>0</v>
      </c>
      <c r="X16" s="5" t="s">
        <v>52</v>
      </c>
    </row>
    <row r="17" spans="1:24">
      <c r="A17" s="23">
        <v>40719</v>
      </c>
      <c r="B17" s="24">
        <v>0</v>
      </c>
      <c r="C17" s="25">
        <f t="shared" si="1"/>
        <v>0</v>
      </c>
      <c r="D17" s="26">
        <f t="shared" si="0"/>
        <v>0</v>
      </c>
      <c r="E17" s="27">
        <v>0</v>
      </c>
      <c r="I17" s="47"/>
      <c r="J17" s="45"/>
      <c r="K17" s="45"/>
      <c r="L17" s="45"/>
      <c r="M17" s="48"/>
      <c r="N17" s="45"/>
      <c r="O17" s="46"/>
      <c r="P17" s="14">
        <f t="shared" si="2"/>
        <v>23470.15</v>
      </c>
      <c r="Q17" s="23">
        <v>40584</v>
      </c>
      <c r="S17" s="31"/>
      <c r="T17" s="31">
        <v>51</v>
      </c>
      <c r="U17" s="5" t="s">
        <v>64</v>
      </c>
      <c r="W17" s="31">
        <v>0</v>
      </c>
      <c r="X17" s="5" t="s">
        <v>64</v>
      </c>
    </row>
    <row r="18" spans="1:24">
      <c r="A18" s="23">
        <v>40369</v>
      </c>
      <c r="B18" s="24">
        <v>0</v>
      </c>
      <c r="C18" s="25">
        <f t="shared" si="1"/>
        <v>0</v>
      </c>
      <c r="D18" s="26">
        <f t="shared" si="0"/>
        <v>0</v>
      </c>
      <c r="E18" s="27">
        <v>0</v>
      </c>
      <c r="I18" s="45"/>
      <c r="J18" s="45"/>
      <c r="K18" s="45"/>
      <c r="L18" s="45"/>
      <c r="P18" s="14">
        <f t="shared" si="2"/>
        <v>22995.15</v>
      </c>
      <c r="Q18" s="23">
        <v>40599</v>
      </c>
      <c r="S18" s="31"/>
      <c r="T18" s="31">
        <v>0</v>
      </c>
      <c r="U18" s="5" t="s">
        <v>63</v>
      </c>
      <c r="W18" s="31">
        <v>0</v>
      </c>
      <c r="X18" s="5" t="s">
        <v>63</v>
      </c>
    </row>
    <row r="19" spans="1:24">
      <c r="A19" s="23">
        <v>40384</v>
      </c>
      <c r="B19" s="24">
        <v>0</v>
      </c>
      <c r="C19" s="25">
        <f t="shared" si="1"/>
        <v>0</v>
      </c>
      <c r="D19" s="26">
        <f t="shared" si="0"/>
        <v>0</v>
      </c>
      <c r="E19" s="27">
        <v>0</v>
      </c>
      <c r="I19" s="49"/>
      <c r="P19" s="14">
        <f t="shared" si="2"/>
        <v>22520.15</v>
      </c>
      <c r="Q19" s="23">
        <v>40612</v>
      </c>
      <c r="T19" s="31">
        <v>0</v>
      </c>
      <c r="U19" s="5" t="s">
        <v>53</v>
      </c>
      <c r="W19" s="31">
        <v>0</v>
      </c>
      <c r="X19" s="5" t="s">
        <v>53</v>
      </c>
    </row>
    <row r="20" spans="1:24">
      <c r="A20" s="23">
        <v>40400</v>
      </c>
      <c r="B20" s="24">
        <v>0</v>
      </c>
      <c r="C20" s="25">
        <f t="shared" si="1"/>
        <v>0</v>
      </c>
      <c r="D20" s="26">
        <f t="shared" si="0"/>
        <v>0</v>
      </c>
      <c r="E20" s="27">
        <v>0</v>
      </c>
      <c r="F20" s="50"/>
      <c r="G20" s="45"/>
      <c r="H20" s="45"/>
      <c r="P20" s="14">
        <f t="shared" si="2"/>
        <v>22045.15</v>
      </c>
      <c r="Q20" s="23">
        <v>40627</v>
      </c>
      <c r="T20" s="31">
        <f>-(T15+T17+T18+T25)*0.062</f>
        <v>2.2611399999999877</v>
      </c>
      <c r="U20" s="5" t="s">
        <v>54</v>
      </c>
      <c r="W20" s="31">
        <f>-(W15+W17+W18+W25)*0.062</f>
        <v>-602.77826000000005</v>
      </c>
      <c r="X20" s="5" t="s">
        <v>54</v>
      </c>
    </row>
    <row r="21" spans="1:24">
      <c r="A21" s="23">
        <v>40415</v>
      </c>
      <c r="B21" s="24">
        <v>0</v>
      </c>
      <c r="C21" s="25">
        <f t="shared" si="1"/>
        <v>0</v>
      </c>
      <c r="D21" s="26">
        <f t="shared" si="0"/>
        <v>0</v>
      </c>
      <c r="E21" s="27">
        <v>0</v>
      </c>
      <c r="F21" s="50"/>
      <c r="G21" s="51"/>
      <c r="H21" s="45"/>
      <c r="I21" s="52" t="s">
        <v>32</v>
      </c>
      <c r="P21" s="14">
        <f t="shared" si="2"/>
        <v>21570.15</v>
      </c>
      <c r="Q21" s="23">
        <v>40643</v>
      </c>
      <c r="T21" s="31">
        <v>203.49</v>
      </c>
      <c r="U21" s="5" t="s">
        <v>68</v>
      </c>
      <c r="W21" s="31">
        <v>-385.18</v>
      </c>
      <c r="X21" s="5" t="s">
        <v>68</v>
      </c>
    </row>
    <row r="22" spans="1:24">
      <c r="A22" s="23">
        <v>40066</v>
      </c>
      <c r="B22" s="24">
        <v>0</v>
      </c>
      <c r="C22" s="25">
        <f t="shared" si="1"/>
        <v>0</v>
      </c>
      <c r="D22" s="26">
        <f t="shared" si="0"/>
        <v>0</v>
      </c>
      <c r="E22" s="27">
        <v>0</v>
      </c>
      <c r="F22" s="53" t="s">
        <v>33</v>
      </c>
      <c r="G22" s="53" t="s">
        <v>34</v>
      </c>
      <c r="H22" s="53" t="s">
        <v>35</v>
      </c>
      <c r="I22" s="52" t="s">
        <v>32</v>
      </c>
      <c r="P22" s="14">
        <f t="shared" si="2"/>
        <v>21095.15</v>
      </c>
      <c r="Q22" s="23">
        <v>40658</v>
      </c>
      <c r="T22" s="31">
        <v>-25</v>
      </c>
      <c r="U22" s="5" t="s">
        <v>72</v>
      </c>
      <c r="W22" s="31">
        <v>0</v>
      </c>
      <c r="X22" s="5" t="s">
        <v>72</v>
      </c>
    </row>
    <row r="23" spans="1:24">
      <c r="A23" s="23">
        <v>40081</v>
      </c>
      <c r="B23" s="24">
        <v>0</v>
      </c>
      <c r="C23" s="25">
        <f t="shared" si="1"/>
        <v>0</v>
      </c>
      <c r="D23" s="26">
        <f t="shared" si="0"/>
        <v>0</v>
      </c>
      <c r="E23" s="27">
        <v>0</v>
      </c>
      <c r="F23" s="53" t="s">
        <v>16</v>
      </c>
      <c r="G23" s="53" t="s">
        <v>36</v>
      </c>
      <c r="H23" s="53" t="s">
        <v>16</v>
      </c>
      <c r="P23" s="14">
        <f t="shared" si="2"/>
        <v>20620.150000000001</v>
      </c>
      <c r="Q23" s="23">
        <v>40673</v>
      </c>
      <c r="S23" s="31"/>
      <c r="T23" s="31">
        <v>0</v>
      </c>
      <c r="U23" s="5" t="s">
        <v>55</v>
      </c>
      <c r="W23" s="31">
        <v>0</v>
      </c>
      <c r="X23" s="5" t="s">
        <v>55</v>
      </c>
    </row>
    <row r="24" spans="1:24">
      <c r="A24" s="23">
        <v>40096</v>
      </c>
      <c r="B24" s="24">
        <v>0</v>
      </c>
      <c r="C24" s="25">
        <f t="shared" si="1"/>
        <v>0</v>
      </c>
      <c r="D24" s="26">
        <f t="shared" si="0"/>
        <v>0</v>
      </c>
      <c r="E24" s="27">
        <v>0</v>
      </c>
      <c r="F24" s="53" t="s">
        <v>37</v>
      </c>
      <c r="G24" s="53" t="s">
        <v>38</v>
      </c>
      <c r="H24" s="53" t="s">
        <v>39</v>
      </c>
      <c r="I24" s="207"/>
      <c r="J24" s="207"/>
      <c r="K24" s="207"/>
      <c r="P24" s="14">
        <f t="shared" si="2"/>
        <v>20145.150000000001</v>
      </c>
      <c r="Q24" s="23">
        <v>40688</v>
      </c>
      <c r="S24" s="31"/>
      <c r="T24" s="31">
        <v>0</v>
      </c>
      <c r="U24" s="5" t="s">
        <v>56</v>
      </c>
      <c r="W24" s="31">
        <v>0</v>
      </c>
      <c r="X24" s="5" t="s">
        <v>56</v>
      </c>
    </row>
    <row r="25" spans="1:24">
      <c r="A25" s="23">
        <v>40111</v>
      </c>
      <c r="B25" s="24">
        <v>0</v>
      </c>
      <c r="C25" s="25">
        <f t="shared" si="1"/>
        <v>0</v>
      </c>
      <c r="D25" s="26">
        <f t="shared" si="0"/>
        <v>0</v>
      </c>
      <c r="E25" s="27">
        <v>0</v>
      </c>
      <c r="F25" s="54"/>
      <c r="G25" s="55"/>
      <c r="H25" s="54"/>
      <c r="I25" s="207"/>
      <c r="J25" s="207"/>
      <c r="K25" s="207"/>
      <c r="P25" s="14">
        <f t="shared" si="2"/>
        <v>19670.150000000001</v>
      </c>
      <c r="Q25" s="23">
        <v>40704</v>
      </c>
      <c r="S25" s="31"/>
      <c r="T25" s="31">
        <v>-2119.9699999999998</v>
      </c>
      <c r="U25" s="5" t="s">
        <v>71</v>
      </c>
      <c r="W25" s="31">
        <v>-2119.9699999999998</v>
      </c>
      <c r="X25" s="5" t="s">
        <v>71</v>
      </c>
    </row>
    <row r="26" spans="1:24">
      <c r="A26" s="23">
        <v>40127</v>
      </c>
      <c r="B26" s="24">
        <v>0</v>
      </c>
      <c r="C26" s="25">
        <f t="shared" si="1"/>
        <v>0</v>
      </c>
      <c r="D26" s="26">
        <f t="shared" si="0"/>
        <v>0</v>
      </c>
      <c r="E26" s="27">
        <v>0</v>
      </c>
      <c r="F26" s="50"/>
      <c r="G26" s="45"/>
      <c r="H26" s="45"/>
      <c r="P26" s="14">
        <f t="shared" si="2"/>
        <v>19670.150000000001</v>
      </c>
      <c r="Q26" s="23">
        <v>40719</v>
      </c>
      <c r="S26" s="31"/>
      <c r="T26" s="31">
        <v>-550</v>
      </c>
      <c r="U26" s="5" t="s">
        <v>70</v>
      </c>
      <c r="W26" s="31">
        <v>0</v>
      </c>
      <c r="X26" s="5" t="s">
        <v>70</v>
      </c>
    </row>
    <row r="27" spans="1:24" ht="15" customHeight="1">
      <c r="A27" s="23">
        <v>40142</v>
      </c>
      <c r="B27" s="24">
        <v>0</v>
      </c>
      <c r="C27" s="25">
        <f t="shared" si="1"/>
        <v>0</v>
      </c>
      <c r="D27" s="26">
        <f t="shared" si="0"/>
        <v>0</v>
      </c>
      <c r="E27" s="27">
        <v>0</v>
      </c>
      <c r="F27" s="56" t="s">
        <v>33</v>
      </c>
      <c r="G27" s="56" t="s">
        <v>34</v>
      </c>
      <c r="H27" s="56" t="s">
        <v>35</v>
      </c>
      <c r="P27" s="14">
        <f t="shared" si="2"/>
        <v>19670.150000000001</v>
      </c>
      <c r="Q27" s="23">
        <v>40369</v>
      </c>
      <c r="S27" s="31"/>
      <c r="T27" s="31">
        <f>-(T15+T17+T18+T25)*0.0145</f>
        <v>0.52881499999999715</v>
      </c>
      <c r="U27" s="5" t="s">
        <v>59</v>
      </c>
      <c r="W27" s="31">
        <f>-(W15+W17+W18+W25)*0.0145</f>
        <v>-140.97233500000002</v>
      </c>
      <c r="X27" s="5" t="s">
        <v>59</v>
      </c>
    </row>
    <row r="28" spans="1:24">
      <c r="A28" s="23">
        <v>40157</v>
      </c>
      <c r="B28" s="24">
        <v>0</v>
      </c>
      <c r="C28" s="25">
        <f t="shared" si="1"/>
        <v>0</v>
      </c>
      <c r="D28" s="26">
        <f t="shared" si="0"/>
        <v>0</v>
      </c>
      <c r="E28" s="27">
        <v>0</v>
      </c>
      <c r="F28" s="56" t="s">
        <v>16</v>
      </c>
      <c r="G28" s="56" t="s">
        <v>40</v>
      </c>
      <c r="H28" s="56" t="s">
        <v>16</v>
      </c>
      <c r="I28" s="45"/>
      <c r="J28" s="45"/>
      <c r="K28" s="45"/>
      <c r="L28" s="45"/>
      <c r="M28" s="48"/>
      <c r="N28" s="45"/>
      <c r="O28" s="46"/>
      <c r="P28" s="14">
        <f t="shared" si="2"/>
        <v>19670.150000000001</v>
      </c>
      <c r="Q28" s="23">
        <v>40384</v>
      </c>
      <c r="S28" s="89"/>
      <c r="T28" s="31">
        <v>-8260</v>
      </c>
      <c r="U28" s="5" t="s">
        <v>62</v>
      </c>
      <c r="W28" s="31">
        <v>-8660</v>
      </c>
      <c r="X28" s="5" t="s">
        <v>62</v>
      </c>
    </row>
    <row r="29" spans="1:24" ht="13.5" thickBot="1">
      <c r="A29" s="23">
        <v>39441</v>
      </c>
      <c r="B29" s="24">
        <v>0</v>
      </c>
      <c r="C29" s="25">
        <f t="shared" si="1"/>
        <v>0</v>
      </c>
      <c r="D29" s="97">
        <f t="shared" si="0"/>
        <v>0</v>
      </c>
      <c r="E29" s="27">
        <v>0</v>
      </c>
      <c r="F29" s="56" t="s">
        <v>37</v>
      </c>
      <c r="G29" s="56" t="s">
        <v>38</v>
      </c>
      <c r="H29" s="56" t="s">
        <v>39</v>
      </c>
      <c r="I29" s="57"/>
      <c r="J29" s="57"/>
      <c r="K29" s="57"/>
      <c r="L29" s="57"/>
      <c r="P29" s="14">
        <f t="shared" si="2"/>
        <v>19670.150000000001</v>
      </c>
      <c r="Q29" s="23">
        <v>40400</v>
      </c>
      <c r="S29" s="89" t="s">
        <v>32</v>
      </c>
      <c r="T29" s="31">
        <f>SUM(T15:T28)</f>
        <v>-8514.5817950000001</v>
      </c>
      <c r="W29" s="31">
        <f>SUM(W15:W28)</f>
        <v>-66.70059499999843</v>
      </c>
    </row>
    <row r="30" spans="1:24">
      <c r="A30" s="58" t="s">
        <v>33</v>
      </c>
      <c r="B30" s="59">
        <f>SUM(B6:B29)</f>
        <v>25194.000000000004</v>
      </c>
      <c r="C30" s="59">
        <f>SUM(C6:C29)</f>
        <v>2519.400000000001</v>
      </c>
      <c r="D30" s="94">
        <f>C30</f>
        <v>2519.400000000001</v>
      </c>
      <c r="E30" s="59">
        <f>SUM(E6:E29)</f>
        <v>5700</v>
      </c>
      <c r="F30" s="61" t="e">
        <f>SUM(#REF!)</f>
        <v>#REF!</v>
      </c>
      <c r="G30" s="62">
        <v>49000</v>
      </c>
      <c r="H30" s="61" t="e">
        <f>G30-F30</f>
        <v>#REF!</v>
      </c>
      <c r="I30" s="57"/>
      <c r="J30" s="57"/>
      <c r="K30" s="57"/>
      <c r="L30" s="57"/>
      <c r="P30" s="14">
        <f t="shared" si="2"/>
        <v>19670.150000000001</v>
      </c>
      <c r="Q30" s="23">
        <v>40415</v>
      </c>
      <c r="S30" s="89" t="s">
        <v>32</v>
      </c>
    </row>
    <row r="31" spans="1:24" ht="13.5" thickBot="1">
      <c r="A31" s="63" t="s">
        <v>41</v>
      </c>
      <c r="B31" s="64">
        <f>B30*0.25</f>
        <v>6298.5000000000009</v>
      </c>
      <c r="C31" s="64">
        <f>SUM(C6:C29)*0.25</f>
        <v>629.85000000000025</v>
      </c>
      <c r="D31" s="64">
        <v>0</v>
      </c>
      <c r="E31" s="65">
        <v>0</v>
      </c>
      <c r="F31" s="66" t="e">
        <f>SUM(#REF!)</f>
        <v>#REF!</v>
      </c>
      <c r="G31" s="67">
        <v>22000</v>
      </c>
      <c r="H31" s="66" t="e">
        <f>G31-F31</f>
        <v>#REF!</v>
      </c>
      <c r="I31" s="57"/>
      <c r="J31" s="57"/>
      <c r="K31" s="57"/>
      <c r="L31" s="57"/>
      <c r="P31" s="14">
        <f t="shared" si="2"/>
        <v>19670.150000000001</v>
      </c>
      <c r="Q31" s="23">
        <v>40066</v>
      </c>
      <c r="S31" s="89" t="s">
        <v>32</v>
      </c>
    </row>
    <row r="32" spans="1:24">
      <c r="E32" s="45"/>
      <c r="F32" s="57"/>
      <c r="G32" s="57"/>
      <c r="H32" s="57"/>
      <c r="I32" s="57"/>
      <c r="J32" s="57"/>
      <c r="K32" s="57"/>
      <c r="L32" s="57"/>
      <c r="P32" s="14">
        <f t="shared" si="2"/>
        <v>19670.150000000001</v>
      </c>
      <c r="Q32" s="23">
        <v>40081</v>
      </c>
      <c r="S32" s="89" t="s">
        <v>32</v>
      </c>
    </row>
    <row r="33" spans="2:20">
      <c r="E33" s="68"/>
      <c r="F33" s="57"/>
      <c r="G33" s="57"/>
      <c r="H33" s="57"/>
      <c r="I33" s="57"/>
      <c r="J33" s="57"/>
      <c r="K33" s="57"/>
      <c r="L33" s="57"/>
      <c r="P33" s="14">
        <f t="shared" si="2"/>
        <v>19670.150000000001</v>
      </c>
      <c r="Q33" s="23">
        <v>40096</v>
      </c>
    </row>
    <row r="34" spans="2:20">
      <c r="C34" s="31"/>
      <c r="E34" s="69"/>
      <c r="F34" s="57"/>
      <c r="G34" s="57"/>
      <c r="H34" s="57"/>
      <c r="I34" s="57"/>
      <c r="J34" s="57"/>
      <c r="K34" s="57"/>
      <c r="L34" s="57"/>
      <c r="P34" s="14">
        <f t="shared" si="2"/>
        <v>19670.150000000001</v>
      </c>
      <c r="Q34" s="23">
        <v>40111</v>
      </c>
    </row>
    <row r="35" spans="2:20">
      <c r="C35" s="31"/>
      <c r="F35" s="57"/>
      <c r="G35" s="57"/>
      <c r="H35" s="57"/>
      <c r="I35" s="57"/>
      <c r="J35" s="57"/>
      <c r="K35" s="57"/>
      <c r="L35" s="57"/>
      <c r="P35" s="14">
        <f t="shared" si="2"/>
        <v>19670.150000000001</v>
      </c>
      <c r="Q35" s="23">
        <v>40127</v>
      </c>
      <c r="T35" s="5">
        <f>625-127.18-21.68</f>
        <v>476.14</v>
      </c>
    </row>
    <row r="36" spans="2:20">
      <c r="C36" s="31"/>
      <c r="F36" s="70"/>
      <c r="G36" s="57"/>
      <c r="H36" s="57"/>
      <c r="I36" s="57"/>
      <c r="J36" s="57"/>
      <c r="K36" s="57"/>
      <c r="L36" s="57"/>
      <c r="P36" s="14">
        <f t="shared" si="2"/>
        <v>19670.150000000001</v>
      </c>
      <c r="Q36" s="23">
        <v>40142</v>
      </c>
      <c r="T36" s="5">
        <f>T35*0.9</f>
        <v>428.52600000000001</v>
      </c>
    </row>
    <row r="37" spans="2:20">
      <c r="C37" s="31"/>
      <c r="F37" s="57"/>
      <c r="G37" s="57"/>
      <c r="H37" s="57"/>
      <c r="I37" s="57"/>
      <c r="J37" s="57"/>
      <c r="K37" s="57"/>
      <c r="L37" s="57"/>
      <c r="P37" s="14">
        <f t="shared" si="2"/>
        <v>19670.150000000001</v>
      </c>
      <c r="Q37" s="23">
        <v>40157</v>
      </c>
    </row>
    <row r="38" spans="2:20" ht="13.5" thickBot="1">
      <c r="C38" s="31"/>
      <c r="F38" s="57"/>
      <c r="G38" s="57"/>
      <c r="H38" s="57"/>
      <c r="I38" s="57"/>
      <c r="J38" s="57"/>
      <c r="K38" s="57"/>
      <c r="L38" s="57"/>
      <c r="M38" s="5" t="s">
        <v>42</v>
      </c>
      <c r="P38" s="19">
        <f t="shared" si="2"/>
        <v>19670.150000000001</v>
      </c>
      <c r="Q38" s="71">
        <v>39441</v>
      </c>
    </row>
    <row r="39" spans="2:20">
      <c r="F39" s="57"/>
      <c r="G39" s="57"/>
      <c r="H39" s="57"/>
      <c r="I39" s="57"/>
      <c r="J39" s="57"/>
      <c r="K39" s="57"/>
      <c r="L39" s="57"/>
    </row>
    <row r="40" spans="2:20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</row>
    <row r="41" spans="2:20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</row>
    <row r="42" spans="2:20">
      <c r="B42" s="72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2:20">
      <c r="B43" s="7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</row>
    <row r="44" spans="2:20">
      <c r="B44" s="72"/>
      <c r="C44" s="57"/>
      <c r="D44" s="57"/>
      <c r="E44" s="57"/>
      <c r="F44" s="57"/>
      <c r="G44" s="57"/>
      <c r="H44" s="57"/>
    </row>
    <row r="45" spans="2:20">
      <c r="B45" s="57"/>
      <c r="C45" s="70"/>
      <c r="D45" s="70"/>
      <c r="E45" s="57"/>
    </row>
    <row r="47" spans="2:20">
      <c r="C47" s="31"/>
    </row>
  </sheetData>
  <customSheetViews>
    <customSheetView guid="{38B7F0AC-1968-4179-B248-6144E152B72B}" scale="85" showPageBreaks="1" hiddenColumns="1">
      <selection activeCell="D42" sqref="D42"/>
      <pageMargins left="0.45" right="0.4" top="1" bottom="0.72" header="0.5" footer="0.5"/>
      <pageSetup paperSize="144" orientation="landscape" r:id="rId1"/>
      <headerFooter alignWithMargins="0"/>
    </customSheetView>
    <customSheetView guid="{B51D5B49-D308-4214-86D8-9F7F021478DE}" scale="85" hiddenColumns="1">
      <selection activeCell="D42" sqref="D42"/>
      <pageMargins left="0.45" right="0.4" top="1" bottom="0.72" header="0.5" footer="0.5"/>
      <pageSetup paperSize="144" orientation="landscape" r:id="rId2"/>
      <headerFooter alignWithMargins="0"/>
    </customSheetView>
  </customSheetViews>
  <mergeCells count="6">
    <mergeCell ref="I25:K25"/>
    <mergeCell ref="B1:C1"/>
    <mergeCell ref="J1:K1"/>
    <mergeCell ref="B2:C2"/>
    <mergeCell ref="I15:K15"/>
    <mergeCell ref="I24:K24"/>
  </mergeCells>
  <pageMargins left="0.45" right="0.4" top="1" bottom="0.72" header="0.5" footer="0.5"/>
  <pageSetup paperSize="144" orientation="landscape" r:id="rId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5"/>
  <dimension ref="A1:WVT47"/>
  <sheetViews>
    <sheetView zoomScale="85" zoomScaleNormal="85" workbookViewId="0">
      <selection activeCell="O34" sqref="O34"/>
    </sheetView>
  </sheetViews>
  <sheetFormatPr defaultRowHeight="12.75"/>
  <cols>
    <col min="1" max="1" width="10.42578125" style="5" bestFit="1" customWidth="1"/>
    <col min="2" max="2" width="13.42578125" style="5" customWidth="1"/>
    <col min="3" max="3" width="12.42578125" style="5" customWidth="1"/>
    <col min="4" max="4" width="12.5703125" style="5" customWidth="1"/>
    <col min="5" max="6" width="13" style="5" customWidth="1"/>
    <col min="7" max="7" width="20.7109375" style="5" customWidth="1"/>
    <col min="8" max="8" width="14.7109375" style="5" customWidth="1"/>
    <col min="9" max="9" width="12.7109375" style="5" hidden="1" customWidth="1"/>
    <col min="10" max="11" width="17.7109375" style="5" hidden="1" customWidth="1"/>
    <col min="12" max="12" width="9.28515625" style="5" hidden="1" customWidth="1"/>
    <col min="13" max="16" width="11.28515625" style="5" customWidth="1"/>
    <col min="17" max="17" width="19.7109375" style="5" customWidth="1"/>
    <col min="18" max="19" width="9.140625" style="5"/>
    <col min="20" max="20" width="10.7109375" style="5" customWidth="1"/>
    <col min="21" max="256" width="9.140625" style="5"/>
    <col min="257" max="257" width="10.42578125" style="5" bestFit="1" customWidth="1"/>
    <col min="258" max="258" width="13.42578125" style="5" customWidth="1"/>
    <col min="259" max="259" width="12.42578125" style="5" customWidth="1"/>
    <col min="260" max="260" width="12.5703125" style="5" customWidth="1"/>
    <col min="261" max="263" width="13" style="5" customWidth="1"/>
    <col min="264" max="264" width="14.7109375" style="5" customWidth="1"/>
    <col min="265" max="268" width="9.28515625" style="5" hidden="1" customWidth="1"/>
    <col min="269" max="272" width="11.28515625" style="5" customWidth="1"/>
    <col min="273" max="273" width="19.7109375" style="5" customWidth="1"/>
    <col min="274" max="512" width="9.140625" style="5"/>
    <col min="513" max="513" width="10.42578125" style="5" bestFit="1" customWidth="1"/>
    <col min="514" max="514" width="13.42578125" style="5" customWidth="1"/>
    <col min="515" max="515" width="12.42578125" style="5" customWidth="1"/>
    <col min="516" max="516" width="12.5703125" style="5" customWidth="1"/>
    <col min="517" max="519" width="13" style="5" customWidth="1"/>
    <col min="520" max="520" width="14.7109375" style="5" customWidth="1"/>
    <col min="521" max="524" width="9.28515625" style="5" hidden="1" customWidth="1"/>
    <col min="525" max="528" width="11.28515625" style="5" customWidth="1"/>
    <col min="529" max="529" width="19.7109375" style="5" customWidth="1"/>
    <col min="530" max="768" width="9.140625" style="5"/>
    <col min="769" max="769" width="10.42578125" style="5" bestFit="1" customWidth="1"/>
    <col min="770" max="770" width="13.42578125" style="5" customWidth="1"/>
    <col min="771" max="771" width="12.42578125" style="5" customWidth="1"/>
    <col min="772" max="772" width="12.5703125" style="5" customWidth="1"/>
    <col min="773" max="775" width="13" style="5" customWidth="1"/>
    <col min="776" max="776" width="14.7109375" style="5" customWidth="1"/>
    <col min="777" max="780" width="9.28515625" style="5" hidden="1" customWidth="1"/>
    <col min="781" max="784" width="11.28515625" style="5" customWidth="1"/>
    <col min="785" max="785" width="19.7109375" style="5" customWidth="1"/>
    <col min="786" max="1024" width="9.140625" style="5"/>
    <col min="1025" max="1025" width="10.42578125" style="5" bestFit="1" customWidth="1"/>
    <col min="1026" max="1026" width="13.42578125" style="5" customWidth="1"/>
    <col min="1027" max="1027" width="12.42578125" style="5" customWidth="1"/>
    <col min="1028" max="1028" width="12.5703125" style="5" customWidth="1"/>
    <col min="1029" max="1031" width="13" style="5" customWidth="1"/>
    <col min="1032" max="1032" width="14.7109375" style="5" customWidth="1"/>
    <col min="1033" max="1036" width="9.28515625" style="5" hidden="1" customWidth="1"/>
    <col min="1037" max="1040" width="11.28515625" style="5" customWidth="1"/>
    <col min="1041" max="1041" width="19.7109375" style="5" customWidth="1"/>
    <col min="1042" max="1280" width="9.140625" style="5"/>
    <col min="1281" max="1281" width="10.42578125" style="5" bestFit="1" customWidth="1"/>
    <col min="1282" max="1282" width="13.42578125" style="5" customWidth="1"/>
    <col min="1283" max="1283" width="12.42578125" style="5" customWidth="1"/>
    <col min="1284" max="1284" width="12.5703125" style="5" customWidth="1"/>
    <col min="1285" max="1287" width="13" style="5" customWidth="1"/>
    <col min="1288" max="1288" width="14.7109375" style="5" customWidth="1"/>
    <col min="1289" max="1292" width="9.28515625" style="5" hidden="1" customWidth="1"/>
    <col min="1293" max="1296" width="11.28515625" style="5" customWidth="1"/>
    <col min="1297" max="1297" width="19.7109375" style="5" customWidth="1"/>
    <col min="1298" max="1536" width="9.140625" style="5"/>
    <col min="1537" max="1537" width="10.42578125" style="5" bestFit="1" customWidth="1"/>
    <col min="1538" max="1538" width="13.42578125" style="5" customWidth="1"/>
    <col min="1539" max="1539" width="12.42578125" style="5" customWidth="1"/>
    <col min="1540" max="1540" width="12.5703125" style="5" customWidth="1"/>
    <col min="1541" max="1543" width="13" style="5" customWidth="1"/>
    <col min="1544" max="1544" width="14.7109375" style="5" customWidth="1"/>
    <col min="1545" max="1548" width="9.28515625" style="5" hidden="1" customWidth="1"/>
    <col min="1549" max="1552" width="11.28515625" style="5" customWidth="1"/>
    <col min="1553" max="1553" width="19.7109375" style="5" customWidth="1"/>
    <col min="1554" max="1792" width="9.140625" style="5"/>
    <col min="1793" max="1793" width="10.42578125" style="5" bestFit="1" customWidth="1"/>
    <col min="1794" max="1794" width="13.42578125" style="5" customWidth="1"/>
    <col min="1795" max="1795" width="12.42578125" style="5" customWidth="1"/>
    <col min="1796" max="1796" width="12.5703125" style="5" customWidth="1"/>
    <col min="1797" max="1799" width="13" style="5" customWidth="1"/>
    <col min="1800" max="1800" width="14.7109375" style="5" customWidth="1"/>
    <col min="1801" max="1804" width="9.28515625" style="5" hidden="1" customWidth="1"/>
    <col min="1805" max="1808" width="11.28515625" style="5" customWidth="1"/>
    <col min="1809" max="1809" width="19.7109375" style="5" customWidth="1"/>
    <col min="1810" max="2048" width="9.140625" style="5"/>
    <col min="2049" max="2049" width="10.42578125" style="5" bestFit="1" customWidth="1"/>
    <col min="2050" max="2050" width="13.42578125" style="5" customWidth="1"/>
    <col min="2051" max="2051" width="12.42578125" style="5" customWidth="1"/>
    <col min="2052" max="2052" width="12.5703125" style="5" customWidth="1"/>
    <col min="2053" max="2055" width="13" style="5" customWidth="1"/>
    <col min="2056" max="2056" width="14.7109375" style="5" customWidth="1"/>
    <col min="2057" max="2060" width="9.28515625" style="5" hidden="1" customWidth="1"/>
    <col min="2061" max="2064" width="11.28515625" style="5" customWidth="1"/>
    <col min="2065" max="2065" width="19.7109375" style="5" customWidth="1"/>
    <col min="2066" max="2304" width="9.140625" style="5"/>
    <col min="2305" max="2305" width="10.42578125" style="5" bestFit="1" customWidth="1"/>
    <col min="2306" max="2306" width="13.42578125" style="5" customWidth="1"/>
    <col min="2307" max="2307" width="12.42578125" style="5" customWidth="1"/>
    <col min="2308" max="2308" width="12.5703125" style="5" customWidth="1"/>
    <col min="2309" max="2311" width="13" style="5" customWidth="1"/>
    <col min="2312" max="2312" width="14.7109375" style="5" customWidth="1"/>
    <col min="2313" max="2316" width="9.28515625" style="5" hidden="1" customWidth="1"/>
    <col min="2317" max="2320" width="11.28515625" style="5" customWidth="1"/>
    <col min="2321" max="2321" width="19.7109375" style="5" customWidth="1"/>
    <col min="2322" max="2560" width="9.140625" style="5"/>
    <col min="2561" max="2561" width="10.42578125" style="5" bestFit="1" customWidth="1"/>
    <col min="2562" max="2562" width="13.42578125" style="5" customWidth="1"/>
    <col min="2563" max="2563" width="12.42578125" style="5" customWidth="1"/>
    <col min="2564" max="2564" width="12.5703125" style="5" customWidth="1"/>
    <col min="2565" max="2567" width="13" style="5" customWidth="1"/>
    <col min="2568" max="2568" width="14.7109375" style="5" customWidth="1"/>
    <col min="2569" max="2572" width="9.28515625" style="5" hidden="1" customWidth="1"/>
    <col min="2573" max="2576" width="11.28515625" style="5" customWidth="1"/>
    <col min="2577" max="2577" width="19.7109375" style="5" customWidth="1"/>
    <col min="2578" max="2816" width="9.140625" style="5"/>
    <col min="2817" max="2817" width="10.42578125" style="5" bestFit="1" customWidth="1"/>
    <col min="2818" max="2818" width="13.42578125" style="5" customWidth="1"/>
    <col min="2819" max="2819" width="12.42578125" style="5" customWidth="1"/>
    <col min="2820" max="2820" width="12.5703125" style="5" customWidth="1"/>
    <col min="2821" max="2823" width="13" style="5" customWidth="1"/>
    <col min="2824" max="2824" width="14.7109375" style="5" customWidth="1"/>
    <col min="2825" max="2828" width="9.28515625" style="5" hidden="1" customWidth="1"/>
    <col min="2829" max="2832" width="11.28515625" style="5" customWidth="1"/>
    <col min="2833" max="2833" width="19.7109375" style="5" customWidth="1"/>
    <col min="2834" max="3072" width="9.140625" style="5"/>
    <col min="3073" max="3073" width="10.42578125" style="5" bestFit="1" customWidth="1"/>
    <col min="3074" max="3074" width="13.42578125" style="5" customWidth="1"/>
    <col min="3075" max="3075" width="12.42578125" style="5" customWidth="1"/>
    <col min="3076" max="3076" width="12.5703125" style="5" customWidth="1"/>
    <col min="3077" max="3079" width="13" style="5" customWidth="1"/>
    <col min="3080" max="3080" width="14.7109375" style="5" customWidth="1"/>
    <col min="3081" max="3084" width="9.28515625" style="5" hidden="1" customWidth="1"/>
    <col min="3085" max="3088" width="11.28515625" style="5" customWidth="1"/>
    <col min="3089" max="3089" width="19.7109375" style="5" customWidth="1"/>
    <col min="3090" max="3328" width="9.140625" style="5"/>
    <col min="3329" max="3329" width="10.42578125" style="5" bestFit="1" customWidth="1"/>
    <col min="3330" max="3330" width="13.42578125" style="5" customWidth="1"/>
    <col min="3331" max="3331" width="12.42578125" style="5" customWidth="1"/>
    <col min="3332" max="3332" width="12.5703125" style="5" customWidth="1"/>
    <col min="3333" max="3335" width="13" style="5" customWidth="1"/>
    <col min="3336" max="3336" width="14.7109375" style="5" customWidth="1"/>
    <col min="3337" max="3340" width="9.28515625" style="5" hidden="1" customWidth="1"/>
    <col min="3341" max="3344" width="11.28515625" style="5" customWidth="1"/>
    <col min="3345" max="3345" width="19.7109375" style="5" customWidth="1"/>
    <col min="3346" max="3584" width="9.140625" style="5"/>
    <col min="3585" max="3585" width="10.42578125" style="5" bestFit="1" customWidth="1"/>
    <col min="3586" max="3586" width="13.42578125" style="5" customWidth="1"/>
    <col min="3587" max="3587" width="12.42578125" style="5" customWidth="1"/>
    <col min="3588" max="3588" width="12.5703125" style="5" customWidth="1"/>
    <col min="3589" max="3591" width="13" style="5" customWidth="1"/>
    <col min="3592" max="3592" width="14.7109375" style="5" customWidth="1"/>
    <col min="3593" max="3596" width="9.28515625" style="5" hidden="1" customWidth="1"/>
    <col min="3597" max="3600" width="11.28515625" style="5" customWidth="1"/>
    <col min="3601" max="3601" width="19.7109375" style="5" customWidth="1"/>
    <col min="3602" max="3840" width="9.140625" style="5"/>
    <col min="3841" max="3841" width="10.42578125" style="5" bestFit="1" customWidth="1"/>
    <col min="3842" max="3842" width="13.42578125" style="5" customWidth="1"/>
    <col min="3843" max="3843" width="12.42578125" style="5" customWidth="1"/>
    <col min="3844" max="3844" width="12.5703125" style="5" customWidth="1"/>
    <col min="3845" max="3847" width="13" style="5" customWidth="1"/>
    <col min="3848" max="3848" width="14.7109375" style="5" customWidth="1"/>
    <col min="3849" max="3852" width="9.28515625" style="5" hidden="1" customWidth="1"/>
    <col min="3853" max="3856" width="11.28515625" style="5" customWidth="1"/>
    <col min="3857" max="3857" width="19.7109375" style="5" customWidth="1"/>
    <col min="3858" max="4096" width="9.140625" style="5"/>
    <col min="4097" max="4097" width="10.42578125" style="5" bestFit="1" customWidth="1"/>
    <col min="4098" max="4098" width="13.42578125" style="5" customWidth="1"/>
    <col min="4099" max="4099" width="12.42578125" style="5" customWidth="1"/>
    <col min="4100" max="4100" width="12.5703125" style="5" customWidth="1"/>
    <col min="4101" max="4103" width="13" style="5" customWidth="1"/>
    <col min="4104" max="4104" width="14.7109375" style="5" customWidth="1"/>
    <col min="4105" max="4108" width="9.28515625" style="5" hidden="1" customWidth="1"/>
    <col min="4109" max="4112" width="11.28515625" style="5" customWidth="1"/>
    <col min="4113" max="4113" width="19.7109375" style="5" customWidth="1"/>
    <col min="4114" max="4352" width="9.140625" style="5"/>
    <col min="4353" max="4353" width="10.42578125" style="5" bestFit="1" customWidth="1"/>
    <col min="4354" max="4354" width="13.42578125" style="5" customWidth="1"/>
    <col min="4355" max="4355" width="12.42578125" style="5" customWidth="1"/>
    <col min="4356" max="4356" width="12.5703125" style="5" customWidth="1"/>
    <col min="4357" max="4359" width="13" style="5" customWidth="1"/>
    <col min="4360" max="4360" width="14.7109375" style="5" customWidth="1"/>
    <col min="4361" max="4364" width="9.28515625" style="5" hidden="1" customWidth="1"/>
    <col min="4365" max="4368" width="11.28515625" style="5" customWidth="1"/>
    <col min="4369" max="4369" width="19.7109375" style="5" customWidth="1"/>
    <col min="4370" max="4608" width="9.140625" style="5"/>
    <col min="4609" max="4609" width="10.42578125" style="5" bestFit="1" customWidth="1"/>
    <col min="4610" max="4610" width="13.42578125" style="5" customWidth="1"/>
    <col min="4611" max="4611" width="12.42578125" style="5" customWidth="1"/>
    <col min="4612" max="4612" width="12.5703125" style="5" customWidth="1"/>
    <col min="4613" max="4615" width="13" style="5" customWidth="1"/>
    <col min="4616" max="4616" width="14.7109375" style="5" customWidth="1"/>
    <col min="4617" max="4620" width="9.28515625" style="5" hidden="1" customWidth="1"/>
    <col min="4621" max="4624" width="11.28515625" style="5" customWidth="1"/>
    <col min="4625" max="4625" width="19.7109375" style="5" customWidth="1"/>
    <col min="4626" max="4864" width="9.140625" style="5"/>
    <col min="4865" max="4865" width="10.42578125" style="5" bestFit="1" customWidth="1"/>
    <col min="4866" max="4866" width="13.42578125" style="5" customWidth="1"/>
    <col min="4867" max="4867" width="12.42578125" style="5" customWidth="1"/>
    <col min="4868" max="4868" width="12.5703125" style="5" customWidth="1"/>
    <col min="4869" max="4871" width="13" style="5" customWidth="1"/>
    <col min="4872" max="4872" width="14.7109375" style="5" customWidth="1"/>
    <col min="4873" max="4876" width="9.28515625" style="5" hidden="1" customWidth="1"/>
    <col min="4877" max="4880" width="11.28515625" style="5" customWidth="1"/>
    <col min="4881" max="4881" width="19.7109375" style="5" customWidth="1"/>
    <col min="4882" max="5120" width="9.140625" style="5"/>
    <col min="5121" max="5121" width="10.42578125" style="5" bestFit="1" customWidth="1"/>
    <col min="5122" max="5122" width="13.42578125" style="5" customWidth="1"/>
    <col min="5123" max="5123" width="12.42578125" style="5" customWidth="1"/>
    <col min="5124" max="5124" width="12.5703125" style="5" customWidth="1"/>
    <col min="5125" max="5127" width="13" style="5" customWidth="1"/>
    <col min="5128" max="5128" width="14.7109375" style="5" customWidth="1"/>
    <col min="5129" max="5132" width="9.28515625" style="5" hidden="1" customWidth="1"/>
    <col min="5133" max="5136" width="11.28515625" style="5" customWidth="1"/>
    <col min="5137" max="5137" width="19.7109375" style="5" customWidth="1"/>
    <col min="5138" max="5376" width="9.140625" style="5"/>
    <col min="5377" max="5377" width="10.42578125" style="5" bestFit="1" customWidth="1"/>
    <col min="5378" max="5378" width="13.42578125" style="5" customWidth="1"/>
    <col min="5379" max="5379" width="12.42578125" style="5" customWidth="1"/>
    <col min="5380" max="5380" width="12.5703125" style="5" customWidth="1"/>
    <col min="5381" max="5383" width="13" style="5" customWidth="1"/>
    <col min="5384" max="5384" width="14.7109375" style="5" customWidth="1"/>
    <col min="5385" max="5388" width="9.28515625" style="5" hidden="1" customWidth="1"/>
    <col min="5389" max="5392" width="11.28515625" style="5" customWidth="1"/>
    <col min="5393" max="5393" width="19.7109375" style="5" customWidth="1"/>
    <col min="5394" max="5632" width="9.140625" style="5"/>
    <col min="5633" max="5633" width="10.42578125" style="5" bestFit="1" customWidth="1"/>
    <col min="5634" max="5634" width="13.42578125" style="5" customWidth="1"/>
    <col min="5635" max="5635" width="12.42578125" style="5" customWidth="1"/>
    <col min="5636" max="5636" width="12.5703125" style="5" customWidth="1"/>
    <col min="5637" max="5639" width="13" style="5" customWidth="1"/>
    <col min="5640" max="5640" width="14.7109375" style="5" customWidth="1"/>
    <col min="5641" max="5644" width="9.28515625" style="5" hidden="1" customWidth="1"/>
    <col min="5645" max="5648" width="11.28515625" style="5" customWidth="1"/>
    <col min="5649" max="5649" width="19.7109375" style="5" customWidth="1"/>
    <col min="5650" max="5888" width="9.140625" style="5"/>
    <col min="5889" max="5889" width="10.42578125" style="5" bestFit="1" customWidth="1"/>
    <col min="5890" max="5890" width="13.42578125" style="5" customWidth="1"/>
    <col min="5891" max="5891" width="12.42578125" style="5" customWidth="1"/>
    <col min="5892" max="5892" width="12.5703125" style="5" customWidth="1"/>
    <col min="5893" max="5895" width="13" style="5" customWidth="1"/>
    <col min="5896" max="5896" width="14.7109375" style="5" customWidth="1"/>
    <col min="5897" max="5900" width="9.28515625" style="5" hidden="1" customWidth="1"/>
    <col min="5901" max="5904" width="11.28515625" style="5" customWidth="1"/>
    <col min="5905" max="5905" width="19.7109375" style="5" customWidth="1"/>
    <col min="5906" max="6144" width="9.140625" style="5"/>
    <col min="6145" max="6145" width="10.42578125" style="5" bestFit="1" customWidth="1"/>
    <col min="6146" max="6146" width="13.42578125" style="5" customWidth="1"/>
    <col min="6147" max="6147" width="12.42578125" style="5" customWidth="1"/>
    <col min="6148" max="6148" width="12.5703125" style="5" customWidth="1"/>
    <col min="6149" max="6151" width="13" style="5" customWidth="1"/>
    <col min="6152" max="6152" width="14.7109375" style="5" customWidth="1"/>
    <col min="6153" max="6156" width="9.28515625" style="5" hidden="1" customWidth="1"/>
    <col min="6157" max="6160" width="11.28515625" style="5" customWidth="1"/>
    <col min="6161" max="6161" width="19.7109375" style="5" customWidth="1"/>
    <col min="6162" max="6400" width="9.140625" style="5"/>
    <col min="6401" max="6401" width="10.42578125" style="5" bestFit="1" customWidth="1"/>
    <col min="6402" max="6402" width="13.42578125" style="5" customWidth="1"/>
    <col min="6403" max="6403" width="12.42578125" style="5" customWidth="1"/>
    <col min="6404" max="6404" width="12.5703125" style="5" customWidth="1"/>
    <col min="6405" max="6407" width="13" style="5" customWidth="1"/>
    <col min="6408" max="6408" width="14.7109375" style="5" customWidth="1"/>
    <col min="6409" max="6412" width="9.28515625" style="5" hidden="1" customWidth="1"/>
    <col min="6413" max="6416" width="11.28515625" style="5" customWidth="1"/>
    <col min="6417" max="6417" width="19.7109375" style="5" customWidth="1"/>
    <col min="6418" max="6656" width="9.140625" style="5"/>
    <col min="6657" max="6657" width="10.42578125" style="5" bestFit="1" customWidth="1"/>
    <col min="6658" max="6658" width="13.42578125" style="5" customWidth="1"/>
    <col min="6659" max="6659" width="12.42578125" style="5" customWidth="1"/>
    <col min="6660" max="6660" width="12.5703125" style="5" customWidth="1"/>
    <col min="6661" max="6663" width="13" style="5" customWidth="1"/>
    <col min="6664" max="6664" width="14.7109375" style="5" customWidth="1"/>
    <col min="6665" max="6668" width="9.28515625" style="5" hidden="1" customWidth="1"/>
    <col min="6669" max="6672" width="11.28515625" style="5" customWidth="1"/>
    <col min="6673" max="6673" width="19.7109375" style="5" customWidth="1"/>
    <col min="6674" max="6912" width="9.140625" style="5"/>
    <col min="6913" max="6913" width="10.42578125" style="5" bestFit="1" customWidth="1"/>
    <col min="6914" max="6914" width="13.42578125" style="5" customWidth="1"/>
    <col min="6915" max="6915" width="12.42578125" style="5" customWidth="1"/>
    <col min="6916" max="6916" width="12.5703125" style="5" customWidth="1"/>
    <col min="6917" max="6919" width="13" style="5" customWidth="1"/>
    <col min="6920" max="6920" width="14.7109375" style="5" customWidth="1"/>
    <col min="6921" max="6924" width="9.28515625" style="5" hidden="1" customWidth="1"/>
    <col min="6925" max="6928" width="11.28515625" style="5" customWidth="1"/>
    <col min="6929" max="6929" width="19.7109375" style="5" customWidth="1"/>
    <col min="6930" max="7168" width="9.140625" style="5"/>
    <col min="7169" max="7169" width="10.42578125" style="5" bestFit="1" customWidth="1"/>
    <col min="7170" max="7170" width="13.42578125" style="5" customWidth="1"/>
    <col min="7171" max="7171" width="12.42578125" style="5" customWidth="1"/>
    <col min="7172" max="7172" width="12.5703125" style="5" customWidth="1"/>
    <col min="7173" max="7175" width="13" style="5" customWidth="1"/>
    <col min="7176" max="7176" width="14.7109375" style="5" customWidth="1"/>
    <col min="7177" max="7180" width="9.28515625" style="5" hidden="1" customWidth="1"/>
    <col min="7181" max="7184" width="11.28515625" style="5" customWidth="1"/>
    <col min="7185" max="7185" width="19.7109375" style="5" customWidth="1"/>
    <col min="7186" max="7424" width="9.140625" style="5"/>
    <col min="7425" max="7425" width="10.42578125" style="5" bestFit="1" customWidth="1"/>
    <col min="7426" max="7426" width="13.42578125" style="5" customWidth="1"/>
    <col min="7427" max="7427" width="12.42578125" style="5" customWidth="1"/>
    <col min="7428" max="7428" width="12.5703125" style="5" customWidth="1"/>
    <col min="7429" max="7431" width="13" style="5" customWidth="1"/>
    <col min="7432" max="7432" width="14.7109375" style="5" customWidth="1"/>
    <col min="7433" max="7436" width="9.28515625" style="5" hidden="1" customWidth="1"/>
    <col min="7437" max="7440" width="11.28515625" style="5" customWidth="1"/>
    <col min="7441" max="7441" width="19.7109375" style="5" customWidth="1"/>
    <col min="7442" max="7680" width="9.140625" style="5"/>
    <col min="7681" max="7681" width="10.42578125" style="5" bestFit="1" customWidth="1"/>
    <col min="7682" max="7682" width="13.42578125" style="5" customWidth="1"/>
    <col min="7683" max="7683" width="12.42578125" style="5" customWidth="1"/>
    <col min="7684" max="7684" width="12.5703125" style="5" customWidth="1"/>
    <col min="7685" max="7687" width="13" style="5" customWidth="1"/>
    <col min="7688" max="7688" width="14.7109375" style="5" customWidth="1"/>
    <col min="7689" max="7692" width="9.28515625" style="5" hidden="1" customWidth="1"/>
    <col min="7693" max="7696" width="11.28515625" style="5" customWidth="1"/>
    <col min="7697" max="7697" width="19.7109375" style="5" customWidth="1"/>
    <col min="7698" max="7936" width="9.140625" style="5"/>
    <col min="7937" max="7937" width="10.42578125" style="5" bestFit="1" customWidth="1"/>
    <col min="7938" max="7938" width="13.42578125" style="5" customWidth="1"/>
    <col min="7939" max="7939" width="12.42578125" style="5" customWidth="1"/>
    <col min="7940" max="7940" width="12.5703125" style="5" customWidth="1"/>
    <col min="7941" max="7943" width="13" style="5" customWidth="1"/>
    <col min="7944" max="7944" width="14.7109375" style="5" customWidth="1"/>
    <col min="7945" max="7948" width="9.28515625" style="5" hidden="1" customWidth="1"/>
    <col min="7949" max="7952" width="11.28515625" style="5" customWidth="1"/>
    <col min="7953" max="7953" width="19.7109375" style="5" customWidth="1"/>
    <col min="7954" max="8192" width="9.140625" style="5"/>
    <col min="8193" max="8193" width="10.42578125" style="5" bestFit="1" customWidth="1"/>
    <col min="8194" max="8194" width="13.42578125" style="5" customWidth="1"/>
    <col min="8195" max="8195" width="12.42578125" style="5" customWidth="1"/>
    <col min="8196" max="8196" width="12.5703125" style="5" customWidth="1"/>
    <col min="8197" max="8199" width="13" style="5" customWidth="1"/>
    <col min="8200" max="8200" width="14.7109375" style="5" customWidth="1"/>
    <col min="8201" max="8204" width="9.28515625" style="5" hidden="1" customWidth="1"/>
    <col min="8205" max="8208" width="11.28515625" style="5" customWidth="1"/>
    <col min="8209" max="8209" width="19.7109375" style="5" customWidth="1"/>
    <col min="8210" max="8448" width="9.140625" style="5"/>
    <col min="8449" max="8449" width="10.42578125" style="5" bestFit="1" customWidth="1"/>
    <col min="8450" max="8450" width="13.42578125" style="5" customWidth="1"/>
    <col min="8451" max="8451" width="12.42578125" style="5" customWidth="1"/>
    <col min="8452" max="8452" width="12.5703125" style="5" customWidth="1"/>
    <col min="8453" max="8455" width="13" style="5" customWidth="1"/>
    <col min="8456" max="8456" width="14.7109375" style="5" customWidth="1"/>
    <col min="8457" max="8460" width="9.28515625" style="5" hidden="1" customWidth="1"/>
    <col min="8461" max="8464" width="11.28515625" style="5" customWidth="1"/>
    <col min="8465" max="8465" width="19.7109375" style="5" customWidth="1"/>
    <col min="8466" max="8704" width="9.140625" style="5"/>
    <col min="8705" max="8705" width="10.42578125" style="5" bestFit="1" customWidth="1"/>
    <col min="8706" max="8706" width="13.42578125" style="5" customWidth="1"/>
    <col min="8707" max="8707" width="12.42578125" style="5" customWidth="1"/>
    <col min="8708" max="8708" width="12.5703125" style="5" customWidth="1"/>
    <col min="8709" max="8711" width="13" style="5" customWidth="1"/>
    <col min="8712" max="8712" width="14.7109375" style="5" customWidth="1"/>
    <col min="8713" max="8716" width="9.28515625" style="5" hidden="1" customWidth="1"/>
    <col min="8717" max="8720" width="11.28515625" style="5" customWidth="1"/>
    <col min="8721" max="8721" width="19.7109375" style="5" customWidth="1"/>
    <col min="8722" max="8960" width="9.140625" style="5"/>
    <col min="8961" max="8961" width="10.42578125" style="5" bestFit="1" customWidth="1"/>
    <col min="8962" max="8962" width="13.42578125" style="5" customWidth="1"/>
    <col min="8963" max="8963" width="12.42578125" style="5" customWidth="1"/>
    <col min="8964" max="8964" width="12.5703125" style="5" customWidth="1"/>
    <col min="8965" max="8967" width="13" style="5" customWidth="1"/>
    <col min="8968" max="8968" width="14.7109375" style="5" customWidth="1"/>
    <col min="8969" max="8972" width="9.28515625" style="5" hidden="1" customWidth="1"/>
    <col min="8973" max="8976" width="11.28515625" style="5" customWidth="1"/>
    <col min="8977" max="8977" width="19.7109375" style="5" customWidth="1"/>
    <col min="8978" max="9216" width="9.140625" style="5"/>
    <col min="9217" max="9217" width="10.42578125" style="5" bestFit="1" customWidth="1"/>
    <col min="9218" max="9218" width="13.42578125" style="5" customWidth="1"/>
    <col min="9219" max="9219" width="12.42578125" style="5" customWidth="1"/>
    <col min="9220" max="9220" width="12.5703125" style="5" customWidth="1"/>
    <col min="9221" max="9223" width="13" style="5" customWidth="1"/>
    <col min="9224" max="9224" width="14.7109375" style="5" customWidth="1"/>
    <col min="9225" max="9228" width="9.28515625" style="5" hidden="1" customWidth="1"/>
    <col min="9229" max="9232" width="11.28515625" style="5" customWidth="1"/>
    <col min="9233" max="9233" width="19.7109375" style="5" customWidth="1"/>
    <col min="9234" max="9472" width="9.140625" style="5"/>
    <col min="9473" max="9473" width="10.42578125" style="5" bestFit="1" customWidth="1"/>
    <col min="9474" max="9474" width="13.42578125" style="5" customWidth="1"/>
    <col min="9475" max="9475" width="12.42578125" style="5" customWidth="1"/>
    <col min="9476" max="9476" width="12.5703125" style="5" customWidth="1"/>
    <col min="9477" max="9479" width="13" style="5" customWidth="1"/>
    <col min="9480" max="9480" width="14.7109375" style="5" customWidth="1"/>
    <col min="9481" max="9484" width="9.28515625" style="5" hidden="1" customWidth="1"/>
    <col min="9485" max="9488" width="11.28515625" style="5" customWidth="1"/>
    <col min="9489" max="9489" width="19.7109375" style="5" customWidth="1"/>
    <col min="9490" max="9728" width="9.140625" style="5"/>
    <col min="9729" max="9729" width="10.42578125" style="5" bestFit="1" customWidth="1"/>
    <col min="9730" max="9730" width="13.42578125" style="5" customWidth="1"/>
    <col min="9731" max="9731" width="12.42578125" style="5" customWidth="1"/>
    <col min="9732" max="9732" width="12.5703125" style="5" customWidth="1"/>
    <col min="9733" max="9735" width="13" style="5" customWidth="1"/>
    <col min="9736" max="9736" width="14.7109375" style="5" customWidth="1"/>
    <col min="9737" max="9740" width="9.28515625" style="5" hidden="1" customWidth="1"/>
    <col min="9741" max="9744" width="11.28515625" style="5" customWidth="1"/>
    <col min="9745" max="9745" width="19.7109375" style="5" customWidth="1"/>
    <col min="9746" max="9984" width="9.140625" style="5"/>
    <col min="9985" max="9985" width="10.42578125" style="5" bestFit="1" customWidth="1"/>
    <col min="9986" max="9986" width="13.42578125" style="5" customWidth="1"/>
    <col min="9987" max="9987" width="12.42578125" style="5" customWidth="1"/>
    <col min="9988" max="9988" width="12.5703125" style="5" customWidth="1"/>
    <col min="9989" max="9991" width="13" style="5" customWidth="1"/>
    <col min="9992" max="9992" width="14.7109375" style="5" customWidth="1"/>
    <col min="9993" max="9996" width="9.28515625" style="5" hidden="1" customWidth="1"/>
    <col min="9997" max="10000" width="11.28515625" style="5" customWidth="1"/>
    <col min="10001" max="10001" width="19.7109375" style="5" customWidth="1"/>
    <col min="10002" max="10240" width="9.140625" style="5"/>
    <col min="10241" max="10241" width="10.42578125" style="5" bestFit="1" customWidth="1"/>
    <col min="10242" max="10242" width="13.42578125" style="5" customWidth="1"/>
    <col min="10243" max="10243" width="12.42578125" style="5" customWidth="1"/>
    <col min="10244" max="10244" width="12.5703125" style="5" customWidth="1"/>
    <col min="10245" max="10247" width="13" style="5" customWidth="1"/>
    <col min="10248" max="10248" width="14.7109375" style="5" customWidth="1"/>
    <col min="10249" max="10252" width="9.28515625" style="5" hidden="1" customWidth="1"/>
    <col min="10253" max="10256" width="11.28515625" style="5" customWidth="1"/>
    <col min="10257" max="10257" width="19.7109375" style="5" customWidth="1"/>
    <col min="10258" max="10496" width="9.140625" style="5"/>
    <col min="10497" max="10497" width="10.42578125" style="5" bestFit="1" customWidth="1"/>
    <col min="10498" max="10498" width="13.42578125" style="5" customWidth="1"/>
    <col min="10499" max="10499" width="12.42578125" style="5" customWidth="1"/>
    <col min="10500" max="10500" width="12.5703125" style="5" customWidth="1"/>
    <col min="10501" max="10503" width="13" style="5" customWidth="1"/>
    <col min="10504" max="10504" width="14.7109375" style="5" customWidth="1"/>
    <col min="10505" max="10508" width="9.28515625" style="5" hidden="1" customWidth="1"/>
    <col min="10509" max="10512" width="11.28515625" style="5" customWidth="1"/>
    <col min="10513" max="10513" width="19.7109375" style="5" customWidth="1"/>
    <col min="10514" max="10752" width="9.140625" style="5"/>
    <col min="10753" max="10753" width="10.42578125" style="5" bestFit="1" customWidth="1"/>
    <col min="10754" max="10754" width="13.42578125" style="5" customWidth="1"/>
    <col min="10755" max="10755" width="12.42578125" style="5" customWidth="1"/>
    <col min="10756" max="10756" width="12.5703125" style="5" customWidth="1"/>
    <col min="10757" max="10759" width="13" style="5" customWidth="1"/>
    <col min="10760" max="10760" width="14.7109375" style="5" customWidth="1"/>
    <col min="10761" max="10764" width="9.28515625" style="5" hidden="1" customWidth="1"/>
    <col min="10765" max="10768" width="11.28515625" style="5" customWidth="1"/>
    <col min="10769" max="10769" width="19.7109375" style="5" customWidth="1"/>
    <col min="10770" max="11008" width="9.140625" style="5"/>
    <col min="11009" max="11009" width="10.42578125" style="5" bestFit="1" customWidth="1"/>
    <col min="11010" max="11010" width="13.42578125" style="5" customWidth="1"/>
    <col min="11011" max="11011" width="12.42578125" style="5" customWidth="1"/>
    <col min="11012" max="11012" width="12.5703125" style="5" customWidth="1"/>
    <col min="11013" max="11015" width="13" style="5" customWidth="1"/>
    <col min="11016" max="11016" width="14.7109375" style="5" customWidth="1"/>
    <col min="11017" max="11020" width="9.28515625" style="5" hidden="1" customWidth="1"/>
    <col min="11021" max="11024" width="11.28515625" style="5" customWidth="1"/>
    <col min="11025" max="11025" width="19.7109375" style="5" customWidth="1"/>
    <col min="11026" max="11264" width="9.140625" style="5"/>
    <col min="11265" max="11265" width="10.42578125" style="5" bestFit="1" customWidth="1"/>
    <col min="11266" max="11266" width="13.42578125" style="5" customWidth="1"/>
    <col min="11267" max="11267" width="12.42578125" style="5" customWidth="1"/>
    <col min="11268" max="11268" width="12.5703125" style="5" customWidth="1"/>
    <col min="11269" max="11271" width="13" style="5" customWidth="1"/>
    <col min="11272" max="11272" width="14.7109375" style="5" customWidth="1"/>
    <col min="11273" max="11276" width="9.28515625" style="5" hidden="1" customWidth="1"/>
    <col min="11277" max="11280" width="11.28515625" style="5" customWidth="1"/>
    <col min="11281" max="11281" width="19.7109375" style="5" customWidth="1"/>
    <col min="11282" max="11520" width="9.140625" style="5"/>
    <col min="11521" max="11521" width="10.42578125" style="5" bestFit="1" customWidth="1"/>
    <col min="11522" max="11522" width="13.42578125" style="5" customWidth="1"/>
    <col min="11523" max="11523" width="12.42578125" style="5" customWidth="1"/>
    <col min="11524" max="11524" width="12.5703125" style="5" customWidth="1"/>
    <col min="11525" max="11527" width="13" style="5" customWidth="1"/>
    <col min="11528" max="11528" width="14.7109375" style="5" customWidth="1"/>
    <col min="11529" max="11532" width="9.28515625" style="5" hidden="1" customWidth="1"/>
    <col min="11533" max="11536" width="11.28515625" style="5" customWidth="1"/>
    <col min="11537" max="11537" width="19.7109375" style="5" customWidth="1"/>
    <col min="11538" max="11776" width="9.140625" style="5"/>
    <col min="11777" max="11777" width="10.42578125" style="5" bestFit="1" customWidth="1"/>
    <col min="11778" max="11778" width="13.42578125" style="5" customWidth="1"/>
    <col min="11779" max="11779" width="12.42578125" style="5" customWidth="1"/>
    <col min="11780" max="11780" width="12.5703125" style="5" customWidth="1"/>
    <col min="11781" max="11783" width="13" style="5" customWidth="1"/>
    <col min="11784" max="11784" width="14.7109375" style="5" customWidth="1"/>
    <col min="11785" max="11788" width="9.28515625" style="5" hidden="1" customWidth="1"/>
    <col min="11789" max="11792" width="11.28515625" style="5" customWidth="1"/>
    <col min="11793" max="11793" width="19.7109375" style="5" customWidth="1"/>
    <col min="11794" max="12032" width="9.140625" style="5"/>
    <col min="12033" max="12033" width="10.42578125" style="5" bestFit="1" customWidth="1"/>
    <col min="12034" max="12034" width="13.42578125" style="5" customWidth="1"/>
    <col min="12035" max="12035" width="12.42578125" style="5" customWidth="1"/>
    <col min="12036" max="12036" width="12.5703125" style="5" customWidth="1"/>
    <col min="12037" max="12039" width="13" style="5" customWidth="1"/>
    <col min="12040" max="12040" width="14.7109375" style="5" customWidth="1"/>
    <col min="12041" max="12044" width="9.28515625" style="5" hidden="1" customWidth="1"/>
    <col min="12045" max="12048" width="11.28515625" style="5" customWidth="1"/>
    <col min="12049" max="12049" width="19.7109375" style="5" customWidth="1"/>
    <col min="12050" max="12288" width="9.140625" style="5"/>
    <col min="12289" max="12289" width="10.42578125" style="5" bestFit="1" customWidth="1"/>
    <col min="12290" max="12290" width="13.42578125" style="5" customWidth="1"/>
    <col min="12291" max="12291" width="12.42578125" style="5" customWidth="1"/>
    <col min="12292" max="12292" width="12.5703125" style="5" customWidth="1"/>
    <col min="12293" max="12295" width="13" style="5" customWidth="1"/>
    <col min="12296" max="12296" width="14.7109375" style="5" customWidth="1"/>
    <col min="12297" max="12300" width="9.28515625" style="5" hidden="1" customWidth="1"/>
    <col min="12301" max="12304" width="11.28515625" style="5" customWidth="1"/>
    <col min="12305" max="12305" width="19.7109375" style="5" customWidth="1"/>
    <col min="12306" max="12544" width="9.140625" style="5"/>
    <col min="12545" max="12545" width="10.42578125" style="5" bestFit="1" customWidth="1"/>
    <col min="12546" max="12546" width="13.42578125" style="5" customWidth="1"/>
    <col min="12547" max="12547" width="12.42578125" style="5" customWidth="1"/>
    <col min="12548" max="12548" width="12.5703125" style="5" customWidth="1"/>
    <col min="12549" max="12551" width="13" style="5" customWidth="1"/>
    <col min="12552" max="12552" width="14.7109375" style="5" customWidth="1"/>
    <col min="12553" max="12556" width="9.28515625" style="5" hidden="1" customWidth="1"/>
    <col min="12557" max="12560" width="11.28515625" style="5" customWidth="1"/>
    <col min="12561" max="12561" width="19.7109375" style="5" customWidth="1"/>
    <col min="12562" max="12800" width="9.140625" style="5"/>
    <col min="12801" max="12801" width="10.42578125" style="5" bestFit="1" customWidth="1"/>
    <col min="12802" max="12802" width="13.42578125" style="5" customWidth="1"/>
    <col min="12803" max="12803" width="12.42578125" style="5" customWidth="1"/>
    <col min="12804" max="12804" width="12.5703125" style="5" customWidth="1"/>
    <col min="12805" max="12807" width="13" style="5" customWidth="1"/>
    <col min="12808" max="12808" width="14.7109375" style="5" customWidth="1"/>
    <col min="12809" max="12812" width="9.28515625" style="5" hidden="1" customWidth="1"/>
    <col min="12813" max="12816" width="11.28515625" style="5" customWidth="1"/>
    <col min="12817" max="12817" width="19.7109375" style="5" customWidth="1"/>
    <col min="12818" max="13056" width="9.140625" style="5"/>
    <col min="13057" max="13057" width="10.42578125" style="5" bestFit="1" customWidth="1"/>
    <col min="13058" max="13058" width="13.42578125" style="5" customWidth="1"/>
    <col min="13059" max="13059" width="12.42578125" style="5" customWidth="1"/>
    <col min="13060" max="13060" width="12.5703125" style="5" customWidth="1"/>
    <col min="13061" max="13063" width="13" style="5" customWidth="1"/>
    <col min="13064" max="13064" width="14.7109375" style="5" customWidth="1"/>
    <col min="13065" max="13068" width="9.28515625" style="5" hidden="1" customWidth="1"/>
    <col min="13069" max="13072" width="11.28515625" style="5" customWidth="1"/>
    <col min="13073" max="13073" width="19.7109375" style="5" customWidth="1"/>
    <col min="13074" max="13312" width="9.140625" style="5"/>
    <col min="13313" max="13313" width="10.42578125" style="5" bestFit="1" customWidth="1"/>
    <col min="13314" max="13314" width="13.42578125" style="5" customWidth="1"/>
    <col min="13315" max="13315" width="12.42578125" style="5" customWidth="1"/>
    <col min="13316" max="13316" width="12.5703125" style="5" customWidth="1"/>
    <col min="13317" max="13319" width="13" style="5" customWidth="1"/>
    <col min="13320" max="13320" width="14.7109375" style="5" customWidth="1"/>
    <col min="13321" max="13324" width="9.28515625" style="5" hidden="1" customWidth="1"/>
    <col min="13325" max="13328" width="11.28515625" style="5" customWidth="1"/>
    <col min="13329" max="13329" width="19.7109375" style="5" customWidth="1"/>
    <col min="13330" max="13568" width="9.140625" style="5"/>
    <col min="13569" max="13569" width="10.42578125" style="5" bestFit="1" customWidth="1"/>
    <col min="13570" max="13570" width="13.42578125" style="5" customWidth="1"/>
    <col min="13571" max="13571" width="12.42578125" style="5" customWidth="1"/>
    <col min="13572" max="13572" width="12.5703125" style="5" customWidth="1"/>
    <col min="13573" max="13575" width="13" style="5" customWidth="1"/>
    <col min="13576" max="13576" width="14.7109375" style="5" customWidth="1"/>
    <col min="13577" max="13580" width="9.28515625" style="5" hidden="1" customWidth="1"/>
    <col min="13581" max="13584" width="11.28515625" style="5" customWidth="1"/>
    <col min="13585" max="13585" width="19.7109375" style="5" customWidth="1"/>
    <col min="13586" max="13824" width="9.140625" style="5"/>
    <col min="13825" max="13825" width="10.42578125" style="5" bestFit="1" customWidth="1"/>
    <col min="13826" max="13826" width="13.42578125" style="5" customWidth="1"/>
    <col min="13827" max="13827" width="12.42578125" style="5" customWidth="1"/>
    <col min="13828" max="13828" width="12.5703125" style="5" customWidth="1"/>
    <col min="13829" max="13831" width="13" style="5" customWidth="1"/>
    <col min="13832" max="13832" width="14.7109375" style="5" customWidth="1"/>
    <col min="13833" max="13836" width="9.28515625" style="5" hidden="1" customWidth="1"/>
    <col min="13837" max="13840" width="11.28515625" style="5" customWidth="1"/>
    <col min="13841" max="13841" width="19.7109375" style="5" customWidth="1"/>
    <col min="13842" max="14080" width="9.140625" style="5"/>
    <col min="14081" max="14081" width="10.42578125" style="5" bestFit="1" customWidth="1"/>
    <col min="14082" max="14082" width="13.42578125" style="5" customWidth="1"/>
    <col min="14083" max="14083" width="12.42578125" style="5" customWidth="1"/>
    <col min="14084" max="14084" width="12.5703125" style="5" customWidth="1"/>
    <col min="14085" max="14087" width="13" style="5" customWidth="1"/>
    <col min="14088" max="14088" width="14.7109375" style="5" customWidth="1"/>
    <col min="14089" max="14092" width="9.28515625" style="5" hidden="1" customWidth="1"/>
    <col min="14093" max="14096" width="11.28515625" style="5" customWidth="1"/>
    <col min="14097" max="14097" width="19.7109375" style="5" customWidth="1"/>
    <col min="14098" max="14336" width="9.140625" style="5"/>
    <col min="14337" max="14337" width="10.42578125" style="5" bestFit="1" customWidth="1"/>
    <col min="14338" max="14338" width="13.42578125" style="5" customWidth="1"/>
    <col min="14339" max="14339" width="12.42578125" style="5" customWidth="1"/>
    <col min="14340" max="14340" width="12.5703125" style="5" customWidth="1"/>
    <col min="14341" max="14343" width="13" style="5" customWidth="1"/>
    <col min="14344" max="14344" width="14.7109375" style="5" customWidth="1"/>
    <col min="14345" max="14348" width="9.28515625" style="5" hidden="1" customWidth="1"/>
    <col min="14349" max="14352" width="11.28515625" style="5" customWidth="1"/>
    <col min="14353" max="14353" width="19.7109375" style="5" customWidth="1"/>
    <col min="14354" max="14592" width="9.140625" style="5"/>
    <col min="14593" max="14593" width="10.42578125" style="5" bestFit="1" customWidth="1"/>
    <col min="14594" max="14594" width="13.42578125" style="5" customWidth="1"/>
    <col min="14595" max="14595" width="12.42578125" style="5" customWidth="1"/>
    <col min="14596" max="14596" width="12.5703125" style="5" customWidth="1"/>
    <col min="14597" max="14599" width="13" style="5" customWidth="1"/>
    <col min="14600" max="14600" width="14.7109375" style="5" customWidth="1"/>
    <col min="14601" max="14604" width="9.28515625" style="5" hidden="1" customWidth="1"/>
    <col min="14605" max="14608" width="11.28515625" style="5" customWidth="1"/>
    <col min="14609" max="14609" width="19.7109375" style="5" customWidth="1"/>
    <col min="14610" max="14848" width="9.140625" style="5"/>
    <col min="14849" max="14849" width="10.42578125" style="5" bestFit="1" customWidth="1"/>
    <col min="14850" max="14850" width="13.42578125" style="5" customWidth="1"/>
    <col min="14851" max="14851" width="12.42578125" style="5" customWidth="1"/>
    <col min="14852" max="14852" width="12.5703125" style="5" customWidth="1"/>
    <col min="14853" max="14855" width="13" style="5" customWidth="1"/>
    <col min="14856" max="14856" width="14.7109375" style="5" customWidth="1"/>
    <col min="14857" max="14860" width="9.28515625" style="5" hidden="1" customWidth="1"/>
    <col min="14861" max="14864" width="11.28515625" style="5" customWidth="1"/>
    <col min="14865" max="14865" width="19.7109375" style="5" customWidth="1"/>
    <col min="14866" max="15104" width="9.140625" style="5"/>
    <col min="15105" max="15105" width="10.42578125" style="5" bestFit="1" customWidth="1"/>
    <col min="15106" max="15106" width="13.42578125" style="5" customWidth="1"/>
    <col min="15107" max="15107" width="12.42578125" style="5" customWidth="1"/>
    <col min="15108" max="15108" width="12.5703125" style="5" customWidth="1"/>
    <col min="15109" max="15111" width="13" style="5" customWidth="1"/>
    <col min="15112" max="15112" width="14.7109375" style="5" customWidth="1"/>
    <col min="15113" max="15116" width="9.28515625" style="5" hidden="1" customWidth="1"/>
    <col min="15117" max="15120" width="11.28515625" style="5" customWidth="1"/>
    <col min="15121" max="15121" width="19.7109375" style="5" customWidth="1"/>
    <col min="15122" max="15360" width="9.140625" style="5"/>
    <col min="15361" max="15361" width="10.42578125" style="5" bestFit="1" customWidth="1"/>
    <col min="15362" max="15362" width="13.42578125" style="5" customWidth="1"/>
    <col min="15363" max="15363" width="12.42578125" style="5" customWidth="1"/>
    <col min="15364" max="15364" width="12.5703125" style="5" customWidth="1"/>
    <col min="15365" max="15367" width="13" style="5" customWidth="1"/>
    <col min="15368" max="15368" width="14.7109375" style="5" customWidth="1"/>
    <col min="15369" max="15372" width="9.28515625" style="5" hidden="1" customWidth="1"/>
    <col min="15373" max="15376" width="11.28515625" style="5" customWidth="1"/>
    <col min="15377" max="15377" width="19.7109375" style="5" customWidth="1"/>
    <col min="15378" max="15616" width="9.140625" style="5"/>
    <col min="15617" max="15617" width="10.42578125" style="5" bestFit="1" customWidth="1"/>
    <col min="15618" max="15618" width="13.42578125" style="5" customWidth="1"/>
    <col min="15619" max="15619" width="12.42578125" style="5" customWidth="1"/>
    <col min="15620" max="15620" width="12.5703125" style="5" customWidth="1"/>
    <col min="15621" max="15623" width="13" style="5" customWidth="1"/>
    <col min="15624" max="15624" width="14.7109375" style="5" customWidth="1"/>
    <col min="15625" max="15628" width="9.28515625" style="5" hidden="1" customWidth="1"/>
    <col min="15629" max="15632" width="11.28515625" style="5" customWidth="1"/>
    <col min="15633" max="15633" width="19.7109375" style="5" customWidth="1"/>
    <col min="15634" max="15872" width="9.140625" style="5"/>
    <col min="15873" max="15873" width="10.42578125" style="5" bestFit="1" customWidth="1"/>
    <col min="15874" max="15874" width="13.42578125" style="5" customWidth="1"/>
    <col min="15875" max="15875" width="12.42578125" style="5" customWidth="1"/>
    <col min="15876" max="15876" width="12.5703125" style="5" customWidth="1"/>
    <col min="15877" max="15879" width="13" style="5" customWidth="1"/>
    <col min="15880" max="15880" width="14.7109375" style="5" customWidth="1"/>
    <col min="15881" max="15884" width="9.28515625" style="5" hidden="1" customWidth="1"/>
    <col min="15885" max="15888" width="11.28515625" style="5" customWidth="1"/>
    <col min="15889" max="15889" width="19.7109375" style="5" customWidth="1"/>
    <col min="15890" max="16128" width="9.140625" style="5"/>
    <col min="16129" max="16129" width="10.42578125" style="5" bestFit="1" customWidth="1"/>
    <col min="16130" max="16130" width="13.42578125" style="5" customWidth="1"/>
    <col min="16131" max="16131" width="12.42578125" style="5" customWidth="1"/>
    <col min="16132" max="16132" width="12.5703125" style="5" customWidth="1"/>
    <col min="16133" max="16135" width="13" style="5" customWidth="1"/>
    <col min="16136" max="16136" width="14.7109375" style="5" customWidth="1"/>
    <col min="16137" max="16140" width="9.28515625" style="5" hidden="1" customWidth="1"/>
    <col min="16141" max="16144" width="11.28515625" style="5" customWidth="1"/>
    <col min="16145" max="16145" width="19.7109375" style="5" customWidth="1"/>
    <col min="16146" max="16384" width="9.140625" style="5"/>
  </cols>
  <sheetData>
    <row r="1" spans="1:24" ht="13.5" thickBot="1">
      <c r="A1" s="1" t="s">
        <v>0</v>
      </c>
      <c r="B1" s="205" t="s">
        <v>60</v>
      </c>
      <c r="C1" s="205"/>
      <c r="D1" s="1" t="s">
        <v>1</v>
      </c>
      <c r="E1" s="2">
        <v>12</v>
      </c>
      <c r="F1" s="3" t="s">
        <v>2</v>
      </c>
      <c r="G1" s="73">
        <v>39310</v>
      </c>
      <c r="J1" s="208" t="s">
        <v>3</v>
      </c>
      <c r="K1" s="208"/>
    </row>
    <row r="2" spans="1:24">
      <c r="A2" s="1" t="s">
        <v>4</v>
      </c>
      <c r="B2" s="206">
        <v>299422366</v>
      </c>
      <c r="C2" s="206"/>
      <c r="E2" s="6"/>
      <c r="F2" s="3" t="s">
        <v>5</v>
      </c>
      <c r="G2" s="73">
        <v>19026</v>
      </c>
      <c r="I2" s="7">
        <v>2007</v>
      </c>
      <c r="J2" s="11">
        <v>2007</v>
      </c>
      <c r="K2" s="11">
        <v>2007</v>
      </c>
      <c r="M2" s="8">
        <v>57000</v>
      </c>
      <c r="N2" s="9"/>
      <c r="O2" s="9"/>
      <c r="P2" s="8">
        <v>19500</v>
      </c>
      <c r="Q2" s="10"/>
    </row>
    <row r="3" spans="1:24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3" t="s">
        <v>11</v>
      </c>
      <c r="G3" s="36">
        <f>G4*E1</f>
        <v>55161.600000000006</v>
      </c>
      <c r="H3" s="49"/>
      <c r="I3" s="12" t="s">
        <v>12</v>
      </c>
      <c r="J3" s="13" t="s">
        <v>13</v>
      </c>
      <c r="K3" s="13" t="s">
        <v>13</v>
      </c>
      <c r="M3" s="14">
        <f>-C30*2</f>
        <v>-5038.800000000002</v>
      </c>
      <c r="P3" s="14">
        <v>0</v>
      </c>
      <c r="Q3" s="15" t="s">
        <v>14</v>
      </c>
      <c r="S3" s="16"/>
    </row>
    <row r="4" spans="1:24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3" t="s">
        <v>17</v>
      </c>
      <c r="G4" s="75">
        <v>4596.8</v>
      </c>
      <c r="H4" s="49"/>
      <c r="I4" s="12" t="s">
        <v>16</v>
      </c>
      <c r="J4" s="13" t="s">
        <v>18</v>
      </c>
      <c r="K4" s="13" t="s">
        <v>19</v>
      </c>
      <c r="M4" s="19">
        <f>SUM(M2:M3)</f>
        <v>51961.2</v>
      </c>
      <c r="N4" s="20" t="s">
        <v>44</v>
      </c>
      <c r="O4" s="20"/>
      <c r="P4" s="14">
        <v>6500</v>
      </c>
      <c r="Q4" s="15" t="s">
        <v>20</v>
      </c>
      <c r="S4" s="16"/>
    </row>
    <row r="5" spans="1:24">
      <c r="A5" s="21" t="s">
        <v>21</v>
      </c>
      <c r="B5" s="21" t="s">
        <v>22</v>
      </c>
      <c r="C5" s="21" t="s">
        <v>23</v>
      </c>
      <c r="D5" s="21" t="s">
        <v>24</v>
      </c>
      <c r="E5" s="21" t="s">
        <v>25</v>
      </c>
      <c r="F5" s="3" t="s">
        <v>26</v>
      </c>
      <c r="G5" s="36">
        <f>G4/2</f>
        <v>2298.4</v>
      </c>
      <c r="H5" s="49"/>
      <c r="I5" s="22" t="s">
        <v>27</v>
      </c>
      <c r="J5" s="21" t="s">
        <v>28</v>
      </c>
      <c r="K5" s="21" t="s">
        <v>28</v>
      </c>
      <c r="P5" s="14">
        <f>-C31</f>
        <v>-629.85000000000025</v>
      </c>
      <c r="Q5" s="15" t="s">
        <v>29</v>
      </c>
      <c r="S5" s="16"/>
    </row>
    <row r="6" spans="1:24" ht="13.5" thickBot="1">
      <c r="A6" s="23">
        <v>40553</v>
      </c>
      <c r="B6" s="24">
        <v>2210</v>
      </c>
      <c r="C6" s="25">
        <f>B6*0.1</f>
        <v>221</v>
      </c>
      <c r="D6" s="26">
        <f>C6</f>
        <v>221</v>
      </c>
      <c r="E6" s="27">
        <v>600</v>
      </c>
      <c r="G6" s="16"/>
      <c r="H6" s="28"/>
      <c r="I6" s="29" t="e">
        <f>IF(#REF!/5&gt;$E$6,E6,(#REF!/5))</f>
        <v>#REF!</v>
      </c>
      <c r="J6" s="30" t="e">
        <f>#REF!/5</f>
        <v>#REF!</v>
      </c>
      <c r="K6" s="30" t="e">
        <f>#REF!/5 +E6</f>
        <v>#REF!</v>
      </c>
      <c r="M6" s="76" t="s">
        <v>100</v>
      </c>
      <c r="N6" s="77"/>
      <c r="O6" s="77"/>
      <c r="P6" s="19">
        <f>SUM(P2:P5)</f>
        <v>25370.15</v>
      </c>
      <c r="Q6" s="32" t="s">
        <v>93</v>
      </c>
      <c r="S6" s="16"/>
    </row>
    <row r="7" spans="1:24" ht="13.5" thickBot="1">
      <c r="A7" s="23">
        <v>40568</v>
      </c>
      <c r="B7" s="24">
        <v>2298.4</v>
      </c>
      <c r="C7" s="25">
        <f>B7*0.1</f>
        <v>229.84000000000003</v>
      </c>
      <c r="D7" s="26">
        <f t="shared" ref="D7:D29" si="0">C7</f>
        <v>229.84000000000003</v>
      </c>
      <c r="E7" s="27">
        <v>650</v>
      </c>
      <c r="G7" s="16"/>
      <c r="H7" s="28"/>
      <c r="I7" s="29" t="e">
        <f>IF(#REF!/5&gt;$E$6,#REF!,(#REF!/5))</f>
        <v>#REF!</v>
      </c>
      <c r="J7" s="30" t="e">
        <f>#REF!/5</f>
        <v>#REF!</v>
      </c>
      <c r="K7" s="30" t="e">
        <f>#REF!/5 +#REF!</f>
        <v>#REF!</v>
      </c>
      <c r="M7" s="76" t="s">
        <v>107</v>
      </c>
      <c r="N7" s="77"/>
      <c r="O7" s="77"/>
      <c r="P7" s="78" t="s">
        <v>45</v>
      </c>
      <c r="Q7" s="79"/>
      <c r="S7" s="16"/>
    </row>
    <row r="8" spans="1:24">
      <c r="A8" s="23">
        <v>40584</v>
      </c>
      <c r="B8" s="24">
        <v>2298.4</v>
      </c>
      <c r="C8" s="25">
        <f t="shared" ref="C8:C29" si="1">B8*0.1</f>
        <v>229.84000000000003</v>
      </c>
      <c r="D8" s="26">
        <f t="shared" si="0"/>
        <v>229.84000000000003</v>
      </c>
      <c r="E8" s="27">
        <v>650</v>
      </c>
      <c r="G8" s="16"/>
      <c r="H8" s="28"/>
      <c r="I8" s="29" t="e">
        <f>IF(#REF!/5&gt;$E$6,E10,(#REF!/5))</f>
        <v>#REF!</v>
      </c>
      <c r="J8" s="30" t="e">
        <f>#REF!/5</f>
        <v>#REF!</v>
      </c>
      <c r="K8" s="30" t="e">
        <f>#REF!/5+E10</f>
        <v>#REF!</v>
      </c>
      <c r="M8" s="31"/>
      <c r="P8" s="33">
        <f>M4</f>
        <v>51961.2</v>
      </c>
      <c r="Q8" s="34" t="s">
        <v>101</v>
      </c>
      <c r="S8" s="16"/>
    </row>
    <row r="9" spans="1:24">
      <c r="A9" s="23">
        <v>40599</v>
      </c>
      <c r="B9" s="24">
        <v>2298.4</v>
      </c>
      <c r="C9" s="25">
        <f t="shared" si="1"/>
        <v>229.84000000000003</v>
      </c>
      <c r="D9" s="26">
        <f t="shared" si="0"/>
        <v>229.84000000000003</v>
      </c>
      <c r="E9" s="27">
        <v>475</v>
      </c>
      <c r="G9" s="16"/>
      <c r="H9" s="28"/>
      <c r="I9" s="29" t="e">
        <f>IF(#REF!/5&gt;$E$6,E11,(#REF!/5))</f>
        <v>#REF!</v>
      </c>
      <c r="J9" s="30" t="e">
        <f>#REF!/5</f>
        <v>#REF!</v>
      </c>
      <c r="K9" s="30" t="e">
        <f>#REF!/5+E10</f>
        <v>#REF!</v>
      </c>
      <c r="M9" s="35"/>
      <c r="N9" s="36"/>
      <c r="O9" s="36"/>
      <c r="P9" s="14">
        <v>0</v>
      </c>
      <c r="Q9" s="15" t="s">
        <v>14</v>
      </c>
      <c r="S9" s="16"/>
    </row>
    <row r="10" spans="1:24">
      <c r="A10" s="23">
        <v>40612</v>
      </c>
      <c r="B10" s="24">
        <v>2298.4</v>
      </c>
      <c r="C10" s="25">
        <f t="shared" si="1"/>
        <v>229.84000000000003</v>
      </c>
      <c r="D10" s="26">
        <f t="shared" si="0"/>
        <v>229.84000000000003</v>
      </c>
      <c r="E10" s="27">
        <v>475</v>
      </c>
      <c r="P10" s="14">
        <v>6500</v>
      </c>
      <c r="Q10" s="15" t="s">
        <v>20</v>
      </c>
      <c r="S10" s="16"/>
    </row>
    <row r="11" spans="1:24" ht="13.5" thickBot="1">
      <c r="A11" s="23">
        <v>40627</v>
      </c>
      <c r="B11" s="24">
        <v>2298.4</v>
      </c>
      <c r="C11" s="25">
        <f t="shared" si="1"/>
        <v>229.84000000000003</v>
      </c>
      <c r="D11" s="26">
        <f t="shared" si="0"/>
        <v>229.84000000000003</v>
      </c>
      <c r="E11" s="27">
        <v>475</v>
      </c>
      <c r="G11" s="80" t="s">
        <v>96</v>
      </c>
      <c r="H11" s="81"/>
      <c r="I11" s="82"/>
      <c r="J11" s="83"/>
      <c r="K11" s="83"/>
      <c r="L11" s="84"/>
      <c r="M11" s="85"/>
      <c r="N11" s="86"/>
      <c r="O11" s="84"/>
      <c r="P11" s="19">
        <f>SUM(P8:P10)</f>
        <v>58461.2</v>
      </c>
      <c r="Q11" s="37"/>
      <c r="S11" s="41"/>
    </row>
    <row r="12" spans="1:24" ht="13.5" thickBot="1">
      <c r="A12" s="23">
        <v>40643</v>
      </c>
      <c r="B12" s="24">
        <v>2298.4</v>
      </c>
      <c r="C12" s="25">
        <f t="shared" si="1"/>
        <v>229.84000000000003</v>
      </c>
      <c r="D12" s="26">
        <f t="shared" si="0"/>
        <v>229.84000000000003</v>
      </c>
      <c r="E12" s="27">
        <v>475</v>
      </c>
      <c r="G12" s="80" t="s">
        <v>97</v>
      </c>
      <c r="H12" s="81"/>
      <c r="I12" s="87"/>
      <c r="J12" s="88"/>
      <c r="K12" s="88"/>
      <c r="L12" s="84"/>
      <c r="M12" s="85"/>
      <c r="N12" s="86"/>
      <c r="O12" s="84"/>
      <c r="P12" s="38"/>
      <c r="Q12" s="39"/>
      <c r="S12" s="31"/>
      <c r="U12" s="89"/>
    </row>
    <row r="13" spans="1:24" ht="13.5" thickBot="1">
      <c r="A13" s="23">
        <v>40658</v>
      </c>
      <c r="B13" s="24">
        <v>2298.4</v>
      </c>
      <c r="C13" s="25">
        <f t="shared" si="1"/>
        <v>229.84000000000003</v>
      </c>
      <c r="D13" s="26">
        <f t="shared" si="0"/>
        <v>229.84000000000003</v>
      </c>
      <c r="E13" s="27">
        <v>475</v>
      </c>
      <c r="G13" s="80" t="s">
        <v>98</v>
      </c>
      <c r="H13" s="84"/>
      <c r="I13" s="87"/>
      <c r="J13" s="88"/>
      <c r="K13" s="90"/>
      <c r="L13" s="84"/>
      <c r="M13" s="85"/>
      <c r="N13" s="86"/>
      <c r="O13" s="84"/>
      <c r="P13" s="40" t="s">
        <v>30</v>
      </c>
      <c r="Q13" s="10"/>
      <c r="S13" s="89"/>
      <c r="T13" s="89"/>
    </row>
    <row r="14" spans="1:24">
      <c r="A14" s="23">
        <v>40673</v>
      </c>
      <c r="B14" s="24">
        <v>2298.4</v>
      </c>
      <c r="C14" s="25">
        <f t="shared" si="1"/>
        <v>229.84000000000003</v>
      </c>
      <c r="D14" s="26">
        <f t="shared" si="0"/>
        <v>229.84000000000003</v>
      </c>
      <c r="E14" s="27">
        <v>475</v>
      </c>
      <c r="G14" s="80" t="s">
        <v>105</v>
      </c>
      <c r="H14" s="81"/>
      <c r="I14" s="91" t="e">
        <v>#REF!</v>
      </c>
      <c r="J14" s="92" t="e">
        <v>#REF!</v>
      </c>
      <c r="K14" s="92" t="e">
        <v>#REF!</v>
      </c>
      <c r="L14" s="84"/>
      <c r="M14" s="85"/>
      <c r="N14" s="86"/>
      <c r="O14" s="84"/>
      <c r="P14" s="14">
        <f>IF(P11&lt;P6,P11,P6)</f>
        <v>25370.15</v>
      </c>
      <c r="Q14" s="42" t="s">
        <v>31</v>
      </c>
      <c r="S14" s="31"/>
      <c r="T14" s="31"/>
    </row>
    <row r="15" spans="1:24">
      <c r="A15" s="23">
        <v>40688</v>
      </c>
      <c r="B15" s="24">
        <v>2298.4</v>
      </c>
      <c r="C15" s="25">
        <f t="shared" si="1"/>
        <v>229.84000000000003</v>
      </c>
      <c r="D15" s="26">
        <f t="shared" si="0"/>
        <v>229.84000000000003</v>
      </c>
      <c r="E15" s="27">
        <v>475</v>
      </c>
      <c r="I15" s="212" t="e">
        <f>IF(#REF!&gt;=0,IF(#REF!&gt;=0,"SRA OK","SRA need to be adjusted"), "&gt;45K Not eligible for SRA")</f>
        <v>#REF!</v>
      </c>
      <c r="J15" s="213"/>
      <c r="K15" s="214"/>
      <c r="M15" s="44"/>
      <c r="N15" s="41"/>
      <c r="P15" s="14">
        <f t="shared" ref="P15:P38" si="2">P14-E6</f>
        <v>24770.15</v>
      </c>
      <c r="Q15" s="23">
        <v>40553</v>
      </c>
      <c r="S15" s="31"/>
      <c r="T15" s="31">
        <f>4065/2</f>
        <v>2032.5</v>
      </c>
      <c r="W15" s="31">
        <v>11842.2</v>
      </c>
    </row>
    <row r="16" spans="1:24">
      <c r="A16" s="23">
        <v>40704</v>
      </c>
      <c r="B16" s="24">
        <v>2298.4</v>
      </c>
      <c r="C16" s="25">
        <f t="shared" si="1"/>
        <v>229.84000000000003</v>
      </c>
      <c r="D16" s="26">
        <f t="shared" si="0"/>
        <v>229.84000000000003</v>
      </c>
      <c r="E16" s="27">
        <v>475</v>
      </c>
      <c r="F16" s="3"/>
      <c r="I16" s="45"/>
      <c r="J16" s="45"/>
      <c r="K16" s="45"/>
      <c r="L16" s="45"/>
      <c r="M16" s="45"/>
      <c r="N16" s="46"/>
      <c r="O16" s="46"/>
      <c r="P16" s="14">
        <f t="shared" si="2"/>
        <v>24120.15</v>
      </c>
      <c r="Q16" s="23">
        <v>40568</v>
      </c>
      <c r="S16" s="31"/>
      <c r="T16" s="31">
        <f>T15*7.41%</f>
        <v>150.60825</v>
      </c>
      <c r="U16" s="5" t="s">
        <v>52</v>
      </c>
      <c r="W16" s="31">
        <v>0</v>
      </c>
      <c r="X16" s="5" t="s">
        <v>52</v>
      </c>
    </row>
    <row r="17" spans="1:24">
      <c r="A17" s="23">
        <v>40719</v>
      </c>
      <c r="B17" s="24">
        <v>0</v>
      </c>
      <c r="C17" s="25">
        <f t="shared" si="1"/>
        <v>0</v>
      </c>
      <c r="D17" s="26">
        <f t="shared" si="0"/>
        <v>0</v>
      </c>
      <c r="E17" s="27">
        <v>0</v>
      </c>
      <c r="I17" s="47"/>
      <c r="J17" s="45"/>
      <c r="K17" s="45"/>
      <c r="L17" s="45"/>
      <c r="M17" s="48"/>
      <c r="N17" s="45"/>
      <c r="O17" s="46"/>
      <c r="P17" s="14">
        <f t="shared" si="2"/>
        <v>23470.15</v>
      </c>
      <c r="Q17" s="23">
        <v>40584</v>
      </c>
      <c r="S17" s="31"/>
      <c r="T17" s="31">
        <v>51</v>
      </c>
      <c r="U17" s="5" t="s">
        <v>64</v>
      </c>
      <c r="W17" s="31">
        <v>0</v>
      </c>
      <c r="X17" s="5" t="s">
        <v>64</v>
      </c>
    </row>
    <row r="18" spans="1:24">
      <c r="A18" s="23">
        <v>40369</v>
      </c>
      <c r="B18" s="24">
        <v>0</v>
      </c>
      <c r="C18" s="25">
        <f t="shared" si="1"/>
        <v>0</v>
      </c>
      <c r="D18" s="26">
        <f t="shared" si="0"/>
        <v>0</v>
      </c>
      <c r="E18" s="27">
        <v>0</v>
      </c>
      <c r="I18" s="45"/>
      <c r="J18" s="45"/>
      <c r="K18" s="45"/>
      <c r="L18" s="45"/>
      <c r="P18" s="14">
        <f t="shared" si="2"/>
        <v>22995.15</v>
      </c>
      <c r="Q18" s="23">
        <v>40599</v>
      </c>
      <c r="S18" s="31"/>
      <c r="T18" s="31">
        <v>0</v>
      </c>
      <c r="U18" s="5" t="s">
        <v>63</v>
      </c>
      <c r="W18" s="31">
        <v>0</v>
      </c>
      <c r="X18" s="5" t="s">
        <v>63</v>
      </c>
    </row>
    <row r="19" spans="1:24">
      <c r="A19" s="23">
        <v>40384</v>
      </c>
      <c r="B19" s="24">
        <v>0</v>
      </c>
      <c r="C19" s="25">
        <f t="shared" si="1"/>
        <v>0</v>
      </c>
      <c r="D19" s="26">
        <f t="shared" si="0"/>
        <v>0</v>
      </c>
      <c r="E19" s="27">
        <v>0</v>
      </c>
      <c r="I19" s="49"/>
      <c r="P19" s="14">
        <f t="shared" si="2"/>
        <v>22520.15</v>
      </c>
      <c r="Q19" s="23">
        <v>40612</v>
      </c>
      <c r="T19" s="31">
        <v>0</v>
      </c>
      <c r="U19" s="5" t="s">
        <v>53</v>
      </c>
      <c r="W19" s="31">
        <v>0</v>
      </c>
      <c r="X19" s="5" t="s">
        <v>53</v>
      </c>
    </row>
    <row r="20" spans="1:24">
      <c r="A20" s="23">
        <v>40400</v>
      </c>
      <c r="B20" s="24">
        <v>0</v>
      </c>
      <c r="C20" s="25">
        <f t="shared" si="1"/>
        <v>0</v>
      </c>
      <c r="D20" s="26">
        <f t="shared" si="0"/>
        <v>0</v>
      </c>
      <c r="E20" s="27">
        <v>0</v>
      </c>
      <c r="F20" s="50"/>
      <c r="G20" s="45"/>
      <c r="H20" s="45"/>
      <c r="P20" s="14">
        <f t="shared" si="2"/>
        <v>22045.15</v>
      </c>
      <c r="Q20" s="23">
        <v>40627</v>
      </c>
      <c r="T20" s="31">
        <f>-(T15+T17+T18+T25)*0.062</f>
        <v>2.2611399999999877</v>
      </c>
      <c r="U20" s="5" t="s">
        <v>54</v>
      </c>
      <c r="W20" s="31">
        <f>-(W15+W17+W18+W25)*0.062</f>
        <v>-602.77826000000005</v>
      </c>
      <c r="X20" s="5" t="s">
        <v>54</v>
      </c>
    </row>
    <row r="21" spans="1:24">
      <c r="A21" s="23">
        <v>40415</v>
      </c>
      <c r="B21" s="24">
        <v>0</v>
      </c>
      <c r="C21" s="25">
        <f t="shared" si="1"/>
        <v>0</v>
      </c>
      <c r="D21" s="26">
        <f t="shared" si="0"/>
        <v>0</v>
      </c>
      <c r="E21" s="27">
        <v>0</v>
      </c>
      <c r="F21" s="50"/>
      <c r="G21" s="51"/>
      <c r="H21" s="45"/>
      <c r="I21" s="52" t="s">
        <v>32</v>
      </c>
      <c r="P21" s="14">
        <f t="shared" si="2"/>
        <v>21570.15</v>
      </c>
      <c r="Q21" s="23">
        <v>40643</v>
      </c>
      <c r="T21" s="31">
        <v>203.49</v>
      </c>
      <c r="U21" s="5" t="s">
        <v>68</v>
      </c>
      <c r="W21" s="31">
        <v>-385.18</v>
      </c>
      <c r="X21" s="5" t="s">
        <v>68</v>
      </c>
    </row>
    <row r="22" spans="1:24">
      <c r="A22" s="23">
        <v>40066</v>
      </c>
      <c r="B22" s="24">
        <v>0</v>
      </c>
      <c r="C22" s="25">
        <f t="shared" si="1"/>
        <v>0</v>
      </c>
      <c r="D22" s="26">
        <f t="shared" si="0"/>
        <v>0</v>
      </c>
      <c r="E22" s="27">
        <v>0</v>
      </c>
      <c r="F22" s="53" t="s">
        <v>33</v>
      </c>
      <c r="G22" s="53" t="s">
        <v>34</v>
      </c>
      <c r="H22" s="53" t="s">
        <v>35</v>
      </c>
      <c r="I22" s="52" t="s">
        <v>32</v>
      </c>
      <c r="P22" s="14">
        <f t="shared" si="2"/>
        <v>21095.15</v>
      </c>
      <c r="Q22" s="23">
        <v>40658</v>
      </c>
      <c r="T22" s="31">
        <v>-25</v>
      </c>
      <c r="U22" s="5" t="s">
        <v>72</v>
      </c>
      <c r="W22" s="31">
        <v>0</v>
      </c>
      <c r="X22" s="5" t="s">
        <v>72</v>
      </c>
    </row>
    <row r="23" spans="1:24">
      <c r="A23" s="23">
        <v>40081</v>
      </c>
      <c r="B23" s="24">
        <v>0</v>
      </c>
      <c r="C23" s="25">
        <f t="shared" si="1"/>
        <v>0</v>
      </c>
      <c r="D23" s="26">
        <f t="shared" si="0"/>
        <v>0</v>
      </c>
      <c r="E23" s="27">
        <v>0</v>
      </c>
      <c r="F23" s="53" t="s">
        <v>16</v>
      </c>
      <c r="G23" s="53" t="s">
        <v>36</v>
      </c>
      <c r="H23" s="53" t="s">
        <v>16</v>
      </c>
      <c r="P23" s="14">
        <f t="shared" si="2"/>
        <v>20620.150000000001</v>
      </c>
      <c r="Q23" s="23">
        <v>40673</v>
      </c>
      <c r="S23" s="31"/>
      <c r="T23" s="31">
        <v>0</v>
      </c>
      <c r="U23" s="5" t="s">
        <v>55</v>
      </c>
      <c r="W23" s="31">
        <v>0</v>
      </c>
      <c r="X23" s="5" t="s">
        <v>55</v>
      </c>
    </row>
    <row r="24" spans="1:24">
      <c r="A24" s="23">
        <v>40096</v>
      </c>
      <c r="B24" s="24">
        <v>0</v>
      </c>
      <c r="C24" s="25">
        <f t="shared" si="1"/>
        <v>0</v>
      </c>
      <c r="D24" s="26">
        <f t="shared" si="0"/>
        <v>0</v>
      </c>
      <c r="E24" s="27">
        <v>0</v>
      </c>
      <c r="F24" s="53" t="s">
        <v>37</v>
      </c>
      <c r="G24" s="53" t="s">
        <v>38</v>
      </c>
      <c r="H24" s="53" t="s">
        <v>39</v>
      </c>
      <c r="I24" s="207"/>
      <c r="J24" s="207"/>
      <c r="K24" s="207"/>
      <c r="P24" s="14">
        <f t="shared" si="2"/>
        <v>20145.150000000001</v>
      </c>
      <c r="Q24" s="23">
        <v>40688</v>
      </c>
      <c r="S24" s="31"/>
      <c r="T24" s="31">
        <v>0</v>
      </c>
      <c r="U24" s="5" t="s">
        <v>56</v>
      </c>
      <c r="W24" s="31">
        <v>0</v>
      </c>
      <c r="X24" s="5" t="s">
        <v>56</v>
      </c>
    </row>
    <row r="25" spans="1:24">
      <c r="A25" s="23">
        <v>40111</v>
      </c>
      <c r="B25" s="24">
        <v>0</v>
      </c>
      <c r="C25" s="25">
        <f t="shared" si="1"/>
        <v>0</v>
      </c>
      <c r="D25" s="26">
        <f t="shared" si="0"/>
        <v>0</v>
      </c>
      <c r="E25" s="27">
        <v>0</v>
      </c>
      <c r="F25" s="54"/>
      <c r="G25" s="55"/>
      <c r="H25" s="54"/>
      <c r="I25" s="207"/>
      <c r="J25" s="207"/>
      <c r="K25" s="207"/>
      <c r="P25" s="14">
        <f t="shared" si="2"/>
        <v>19670.150000000001</v>
      </c>
      <c r="Q25" s="23">
        <v>40704</v>
      </c>
      <c r="S25" s="31"/>
      <c r="T25" s="31">
        <v>-2119.9699999999998</v>
      </c>
      <c r="U25" s="5" t="s">
        <v>71</v>
      </c>
      <c r="W25" s="31">
        <v>-2119.9699999999998</v>
      </c>
      <c r="X25" s="5" t="s">
        <v>71</v>
      </c>
    </row>
    <row r="26" spans="1:24">
      <c r="A26" s="23">
        <v>40127</v>
      </c>
      <c r="B26" s="24">
        <v>0</v>
      </c>
      <c r="C26" s="25">
        <f t="shared" si="1"/>
        <v>0</v>
      </c>
      <c r="D26" s="26">
        <f t="shared" si="0"/>
        <v>0</v>
      </c>
      <c r="E26" s="27">
        <v>0</v>
      </c>
      <c r="F26" s="50"/>
      <c r="G26" s="45"/>
      <c r="H26" s="45"/>
      <c r="P26" s="14">
        <f t="shared" si="2"/>
        <v>19670.150000000001</v>
      </c>
      <c r="Q26" s="23">
        <v>40719</v>
      </c>
      <c r="S26" s="31"/>
      <c r="T26" s="31">
        <v>-550</v>
      </c>
      <c r="U26" s="5" t="s">
        <v>70</v>
      </c>
      <c r="W26" s="31">
        <v>0</v>
      </c>
      <c r="X26" s="5" t="s">
        <v>70</v>
      </c>
    </row>
    <row r="27" spans="1:24" ht="15" customHeight="1">
      <c r="A27" s="23">
        <v>40142</v>
      </c>
      <c r="B27" s="24">
        <v>0</v>
      </c>
      <c r="C27" s="25">
        <f t="shared" si="1"/>
        <v>0</v>
      </c>
      <c r="D27" s="26">
        <f t="shared" si="0"/>
        <v>0</v>
      </c>
      <c r="E27" s="27">
        <v>0</v>
      </c>
      <c r="F27" s="56" t="s">
        <v>33</v>
      </c>
      <c r="G27" s="56" t="s">
        <v>34</v>
      </c>
      <c r="H27" s="56" t="s">
        <v>35</v>
      </c>
      <c r="P27" s="14">
        <f t="shared" si="2"/>
        <v>19670.150000000001</v>
      </c>
      <c r="Q27" s="23">
        <v>40369</v>
      </c>
      <c r="S27" s="31"/>
      <c r="T27" s="31">
        <f>-(T15+T17+T18+T25)*0.0145</f>
        <v>0.52881499999999715</v>
      </c>
      <c r="U27" s="5" t="s">
        <v>59</v>
      </c>
      <c r="W27" s="31">
        <f>-(W15+W17+W18+W25)*0.0145</f>
        <v>-140.97233500000002</v>
      </c>
      <c r="X27" s="5" t="s">
        <v>59</v>
      </c>
    </row>
    <row r="28" spans="1:24">
      <c r="A28" s="23">
        <v>40157</v>
      </c>
      <c r="B28" s="24">
        <v>0</v>
      </c>
      <c r="C28" s="25">
        <f t="shared" si="1"/>
        <v>0</v>
      </c>
      <c r="D28" s="26">
        <f t="shared" si="0"/>
        <v>0</v>
      </c>
      <c r="E28" s="27">
        <v>0</v>
      </c>
      <c r="F28" s="56" t="s">
        <v>16</v>
      </c>
      <c r="G28" s="56" t="s">
        <v>40</v>
      </c>
      <c r="H28" s="56" t="s">
        <v>16</v>
      </c>
      <c r="I28" s="45"/>
      <c r="J28" s="45"/>
      <c r="K28" s="45"/>
      <c r="L28" s="45"/>
      <c r="M28" s="48"/>
      <c r="N28" s="45"/>
      <c r="O28" s="46"/>
      <c r="P28" s="14">
        <f t="shared" si="2"/>
        <v>19670.150000000001</v>
      </c>
      <c r="Q28" s="23">
        <v>40384</v>
      </c>
      <c r="S28" s="89"/>
      <c r="T28" s="31">
        <v>-8260</v>
      </c>
      <c r="U28" s="5" t="s">
        <v>62</v>
      </c>
      <c r="W28" s="31">
        <v>-8660</v>
      </c>
      <c r="X28" s="5" t="s">
        <v>62</v>
      </c>
    </row>
    <row r="29" spans="1:24" ht="13.5" thickBot="1">
      <c r="A29" s="23">
        <v>39441</v>
      </c>
      <c r="B29" s="24">
        <v>0</v>
      </c>
      <c r="C29" s="25">
        <f t="shared" si="1"/>
        <v>0</v>
      </c>
      <c r="D29" s="97">
        <f t="shared" si="0"/>
        <v>0</v>
      </c>
      <c r="E29" s="27">
        <v>0</v>
      </c>
      <c r="F29" s="56" t="s">
        <v>37</v>
      </c>
      <c r="G29" s="56" t="s">
        <v>38</v>
      </c>
      <c r="H29" s="56" t="s">
        <v>39</v>
      </c>
      <c r="I29" s="57"/>
      <c r="J29" s="57"/>
      <c r="K29" s="57"/>
      <c r="L29" s="57"/>
      <c r="P29" s="14">
        <f t="shared" si="2"/>
        <v>19670.150000000001</v>
      </c>
      <c r="Q29" s="23">
        <v>40400</v>
      </c>
      <c r="S29" s="89" t="s">
        <v>32</v>
      </c>
      <c r="T29" s="31">
        <f>SUM(T15:T28)</f>
        <v>-8514.5817950000001</v>
      </c>
      <c r="W29" s="31">
        <f>SUM(W15:W28)</f>
        <v>-66.70059499999843</v>
      </c>
    </row>
    <row r="30" spans="1:24">
      <c r="A30" s="58" t="s">
        <v>33</v>
      </c>
      <c r="B30" s="59">
        <f>SUM(B6:B29)</f>
        <v>25194.000000000004</v>
      </c>
      <c r="C30" s="59">
        <f>SUM(C6:C29)</f>
        <v>2519.400000000001</v>
      </c>
      <c r="D30" s="94">
        <f>C30</f>
        <v>2519.400000000001</v>
      </c>
      <c r="E30" s="59">
        <f>SUM(E6:E29)</f>
        <v>5700</v>
      </c>
      <c r="F30" s="61" t="e">
        <f>SUM(#REF!)</f>
        <v>#REF!</v>
      </c>
      <c r="G30" s="62">
        <v>49000</v>
      </c>
      <c r="H30" s="61" t="e">
        <f>G30-F30</f>
        <v>#REF!</v>
      </c>
      <c r="I30" s="57"/>
      <c r="J30" s="57"/>
      <c r="K30" s="57"/>
      <c r="L30" s="57"/>
      <c r="P30" s="14">
        <f t="shared" si="2"/>
        <v>19670.150000000001</v>
      </c>
      <c r="Q30" s="23">
        <v>40415</v>
      </c>
      <c r="S30" s="89" t="s">
        <v>32</v>
      </c>
    </row>
    <row r="31" spans="1:24" ht="13.5" thickBot="1">
      <c r="A31" s="63" t="s">
        <v>41</v>
      </c>
      <c r="B31" s="64">
        <f>B30*0.25</f>
        <v>6298.5000000000009</v>
      </c>
      <c r="C31" s="64">
        <f>SUM(C6:C29)*0.25</f>
        <v>629.85000000000025</v>
      </c>
      <c r="D31" s="64">
        <v>0</v>
      </c>
      <c r="E31" s="65">
        <v>0</v>
      </c>
      <c r="F31" s="66" t="e">
        <f>SUM(#REF!)</f>
        <v>#REF!</v>
      </c>
      <c r="G31" s="67">
        <v>22000</v>
      </c>
      <c r="H31" s="66" t="e">
        <f>G31-F31</f>
        <v>#REF!</v>
      </c>
      <c r="I31" s="57"/>
      <c r="J31" s="57"/>
      <c r="K31" s="57"/>
      <c r="L31" s="57"/>
      <c r="P31" s="14">
        <f t="shared" si="2"/>
        <v>19670.150000000001</v>
      </c>
      <c r="Q31" s="23">
        <v>40066</v>
      </c>
      <c r="S31" s="89" t="s">
        <v>32</v>
      </c>
    </row>
    <row r="32" spans="1:24">
      <c r="E32" s="45"/>
      <c r="F32" s="57"/>
      <c r="G32" s="57"/>
      <c r="H32" s="57"/>
      <c r="I32" s="57"/>
      <c r="J32" s="57"/>
      <c r="K32" s="57"/>
      <c r="L32" s="57"/>
      <c r="P32" s="14">
        <f t="shared" si="2"/>
        <v>19670.150000000001</v>
      </c>
      <c r="Q32" s="23">
        <v>40081</v>
      </c>
      <c r="S32" s="89" t="s">
        <v>32</v>
      </c>
    </row>
    <row r="33" spans="2:20">
      <c r="E33" s="68"/>
      <c r="F33" s="57"/>
      <c r="G33" s="57"/>
      <c r="H33" s="57"/>
      <c r="I33" s="57"/>
      <c r="J33" s="57"/>
      <c r="K33" s="57"/>
      <c r="L33" s="57"/>
      <c r="P33" s="14">
        <f t="shared" si="2"/>
        <v>19670.150000000001</v>
      </c>
      <c r="Q33" s="23">
        <v>40096</v>
      </c>
    </row>
    <row r="34" spans="2:20">
      <c r="C34" s="31"/>
      <c r="E34" s="69"/>
      <c r="F34" s="57"/>
      <c r="G34" s="57"/>
      <c r="H34" s="57"/>
      <c r="I34" s="57"/>
      <c r="J34" s="57"/>
      <c r="K34" s="57"/>
      <c r="L34" s="57"/>
      <c r="P34" s="14">
        <f t="shared" si="2"/>
        <v>19670.150000000001</v>
      </c>
      <c r="Q34" s="23">
        <v>40111</v>
      </c>
    </row>
    <row r="35" spans="2:20">
      <c r="C35" s="31"/>
      <c r="F35" s="57"/>
      <c r="G35" s="57"/>
      <c r="H35" s="57"/>
      <c r="I35" s="57"/>
      <c r="J35" s="57"/>
      <c r="K35" s="57"/>
      <c r="L35" s="57"/>
      <c r="P35" s="14">
        <f t="shared" si="2"/>
        <v>19670.150000000001</v>
      </c>
      <c r="Q35" s="23">
        <v>40127</v>
      </c>
      <c r="T35" s="5">
        <f>625-127.18-21.68</f>
        <v>476.14</v>
      </c>
    </row>
    <row r="36" spans="2:20">
      <c r="C36" s="31"/>
      <c r="F36" s="70"/>
      <c r="G36" s="57"/>
      <c r="H36" s="57"/>
      <c r="I36" s="57"/>
      <c r="J36" s="57"/>
      <c r="K36" s="57"/>
      <c r="L36" s="57"/>
      <c r="P36" s="14">
        <f t="shared" si="2"/>
        <v>19670.150000000001</v>
      </c>
      <c r="Q36" s="23">
        <v>40142</v>
      </c>
      <c r="T36" s="5">
        <f>T35*0.9</f>
        <v>428.52600000000001</v>
      </c>
    </row>
    <row r="37" spans="2:20">
      <c r="C37" s="31"/>
      <c r="F37" s="57"/>
      <c r="G37" s="57"/>
      <c r="H37" s="57"/>
      <c r="I37" s="57"/>
      <c r="J37" s="57"/>
      <c r="K37" s="57"/>
      <c r="L37" s="57"/>
      <c r="P37" s="14">
        <f t="shared" si="2"/>
        <v>19670.150000000001</v>
      </c>
      <c r="Q37" s="23">
        <v>40157</v>
      </c>
    </row>
    <row r="38" spans="2:20" ht="13.5" thickBot="1">
      <c r="C38" s="31"/>
      <c r="F38" s="57"/>
      <c r="G38" s="57"/>
      <c r="H38" s="57"/>
      <c r="I38" s="57"/>
      <c r="J38" s="57"/>
      <c r="K38" s="57"/>
      <c r="L38" s="57"/>
      <c r="M38" s="5" t="s">
        <v>42</v>
      </c>
      <c r="P38" s="19">
        <f t="shared" si="2"/>
        <v>19670.150000000001</v>
      </c>
      <c r="Q38" s="71">
        <v>39441</v>
      </c>
    </row>
    <row r="39" spans="2:20">
      <c r="F39" s="57"/>
      <c r="G39" s="57"/>
      <c r="H39" s="57"/>
      <c r="I39" s="57"/>
      <c r="J39" s="57"/>
      <c r="K39" s="57"/>
      <c r="L39" s="57"/>
    </row>
    <row r="40" spans="2:20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</row>
    <row r="41" spans="2:20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</row>
    <row r="42" spans="2:20">
      <c r="B42" s="72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2:20">
      <c r="B43" s="7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</row>
    <row r="44" spans="2:20">
      <c r="B44" s="72"/>
      <c r="C44" s="57"/>
      <c r="D44" s="57"/>
      <c r="E44" s="57"/>
      <c r="F44" s="57"/>
      <c r="G44" s="57"/>
      <c r="H44" s="57"/>
    </row>
    <row r="45" spans="2:20">
      <c r="B45" s="57"/>
      <c r="C45" s="70"/>
      <c r="D45" s="70"/>
      <c r="E45" s="57"/>
    </row>
    <row r="47" spans="2:20">
      <c r="C47" s="31"/>
    </row>
  </sheetData>
  <mergeCells count="6">
    <mergeCell ref="I25:K25"/>
    <mergeCell ref="B1:C1"/>
    <mergeCell ref="J1:K1"/>
    <mergeCell ref="B2:C2"/>
    <mergeCell ref="I15:K15"/>
    <mergeCell ref="I24:K24"/>
  </mergeCells>
  <pageMargins left="0.45" right="0.4" top="1" bottom="0.72" header="0.5" footer="0.5"/>
  <pageSetup paperSize="14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33">
    <tabColor rgb="FFFF0000"/>
  </sheetPr>
  <dimension ref="A1:WVS48"/>
  <sheetViews>
    <sheetView zoomScale="85" zoomScaleNormal="85" workbookViewId="0">
      <selection activeCell="F43" sqref="F43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113</v>
      </c>
      <c r="C1" s="205"/>
      <c r="D1" s="127"/>
      <c r="E1" s="1" t="s">
        <v>1</v>
      </c>
      <c r="F1" s="2">
        <v>9</v>
      </c>
      <c r="G1" s="16"/>
      <c r="H1" s="2"/>
      <c r="I1" s="3" t="s">
        <v>2</v>
      </c>
      <c r="J1" s="4">
        <v>36023</v>
      </c>
    </row>
    <row r="2" spans="1:20">
      <c r="A2" s="1" t="s">
        <v>4</v>
      </c>
      <c r="B2" s="206">
        <v>568793583</v>
      </c>
      <c r="C2" s="206"/>
      <c r="D2" s="128"/>
      <c r="F2" s="6"/>
      <c r="H2" s="6"/>
      <c r="I2" s="3" t="s">
        <v>5</v>
      </c>
      <c r="J2" s="4">
        <v>24988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125">
        <v>198440.55</v>
      </c>
      <c r="K3" s="49"/>
      <c r="L3" s="14">
        <f>-SUM(C30+D30+E30+F30)</f>
        <v>-52917.62937499999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75">
        <f>J3/F1</f>
        <v>22048.949999999997</v>
      </c>
      <c r="K4" s="49"/>
      <c r="L4" s="19">
        <f>SUM(L2:L3)</f>
        <v>5082.3706250000105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6">
        <f>J4/2</f>
        <v>11024.474999999999</v>
      </c>
      <c r="K5" s="49"/>
      <c r="O5" s="14">
        <f>-D30</f>
        <v>-6614.6874999999982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19385.3125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3" si="1">B7*0.025</f>
        <v>0</v>
      </c>
      <c r="E7" s="26">
        <f t="shared" ref="E7:E29" si="2">B7*0.075</f>
        <v>0</v>
      </c>
      <c r="F7" s="25">
        <f t="shared" ref="F7:F23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5082.3706250000105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11582.37062500001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11582.37062500001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11582.37062500001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11582.37062500001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11582.37062500001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11582.37062500001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11582.37062500001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11582.37062500001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11582.37062500001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11582.37062500001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11582.37062500001</v>
      </c>
      <c r="P23" s="23">
        <v>40673</v>
      </c>
      <c r="R23" s="31"/>
      <c r="U23" s="31"/>
    </row>
    <row r="24" spans="1:22">
      <c r="A24" s="23">
        <v>40096</v>
      </c>
      <c r="B24" s="125">
        <v>209465.1</v>
      </c>
      <c r="C24" s="125">
        <v>15709.95</v>
      </c>
      <c r="D24" s="125">
        <v>4960.9799999999996</v>
      </c>
      <c r="E24" s="26">
        <v>15709.95</v>
      </c>
      <c r="F24" s="125">
        <v>5236.59</v>
      </c>
      <c r="G24" s="27">
        <v>21039.02</v>
      </c>
      <c r="H24" s="27">
        <v>0</v>
      </c>
      <c r="I24" s="53"/>
      <c r="J24" s="53"/>
      <c r="K24" s="53"/>
      <c r="O24" s="14">
        <f t="shared" si="4"/>
        <v>11582.37062500001</v>
      </c>
      <c r="P24" s="23">
        <v>40688</v>
      </c>
      <c r="R24" s="31"/>
      <c r="U24" s="31"/>
    </row>
    <row r="25" spans="1:22">
      <c r="A25" s="23">
        <v>40111</v>
      </c>
      <c r="B25" s="98">
        <f>J5</f>
        <v>11024.474999999999</v>
      </c>
      <c r="C25" s="25">
        <f t="shared" si="0"/>
        <v>826.83562499999982</v>
      </c>
      <c r="D25" s="25">
        <v>0</v>
      </c>
      <c r="E25" s="26">
        <f>B25*0.075</f>
        <v>826.83562499999982</v>
      </c>
      <c r="F25" s="25">
        <v>0</v>
      </c>
      <c r="G25" s="27">
        <v>-9456.66</v>
      </c>
      <c r="H25" s="27">
        <v>0</v>
      </c>
      <c r="I25" s="54"/>
      <c r="J25" s="55"/>
      <c r="K25" s="54"/>
      <c r="O25" s="14">
        <f t="shared" si="4"/>
        <v>11582.37062500001</v>
      </c>
      <c r="P25" s="23">
        <v>40704</v>
      </c>
      <c r="R25" s="31"/>
    </row>
    <row r="26" spans="1:22">
      <c r="A26" s="23">
        <v>40127</v>
      </c>
      <c r="B26" s="98">
        <f>J5</f>
        <v>11024.474999999999</v>
      </c>
      <c r="C26" s="25">
        <f t="shared" si="0"/>
        <v>826.83562499999982</v>
      </c>
      <c r="D26" s="25">
        <f>B26*0.025</f>
        <v>275.611875</v>
      </c>
      <c r="E26" s="26">
        <f t="shared" si="2"/>
        <v>826.83562499999982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4"/>
        <v>11582.37062500001</v>
      </c>
      <c r="P26" s="23">
        <v>40719</v>
      </c>
      <c r="R26" s="31"/>
    </row>
    <row r="27" spans="1:22" ht="15" customHeight="1">
      <c r="A27" s="23">
        <v>40142</v>
      </c>
      <c r="B27" s="98">
        <f>J5</f>
        <v>11024.474999999999</v>
      </c>
      <c r="C27" s="25">
        <f t="shared" si="0"/>
        <v>826.83562499999982</v>
      </c>
      <c r="D27" s="135">
        <f>(B27*0.025)+551.26</f>
        <v>826.87187500000005</v>
      </c>
      <c r="E27" s="26">
        <f>B27*0.075</f>
        <v>826.83562499999982</v>
      </c>
      <c r="F27" s="135">
        <f>(B27*0.025)+551.26</f>
        <v>826.87187500000005</v>
      </c>
      <c r="G27" s="27">
        <v>0</v>
      </c>
      <c r="H27" s="27">
        <v>0</v>
      </c>
      <c r="I27" s="56"/>
      <c r="J27" s="56"/>
      <c r="K27" s="56"/>
      <c r="O27" s="14">
        <f t="shared" si="4"/>
        <v>11582.37062500001</v>
      </c>
      <c r="P27" s="23">
        <v>40369</v>
      </c>
      <c r="R27" s="31"/>
    </row>
    <row r="28" spans="1:22">
      <c r="A28" s="23">
        <v>40157</v>
      </c>
      <c r="B28" s="98">
        <f>J5</f>
        <v>11024.474999999999</v>
      </c>
      <c r="C28" s="25">
        <f t="shared" si="0"/>
        <v>826.83562499999982</v>
      </c>
      <c r="D28" s="25">
        <f>B28*0.025</f>
        <v>275.611875</v>
      </c>
      <c r="E28" s="26">
        <f t="shared" si="2"/>
        <v>826.83562499999982</v>
      </c>
      <c r="F28" s="25">
        <f>B28*0.025</f>
        <v>275.611875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11582.37062500001</v>
      </c>
      <c r="P28" s="23">
        <v>40384</v>
      </c>
      <c r="R28" s="89"/>
    </row>
    <row r="29" spans="1:22" ht="13.5" thickBot="1">
      <c r="A29" s="23">
        <v>39441</v>
      </c>
      <c r="B29" s="98">
        <f>J5</f>
        <v>11024.474999999999</v>
      </c>
      <c r="C29" s="25">
        <f t="shared" si="0"/>
        <v>826.83562499999982</v>
      </c>
      <c r="D29" s="25">
        <f>B29*0.025</f>
        <v>275.611875</v>
      </c>
      <c r="E29" s="26">
        <f t="shared" si="2"/>
        <v>826.83562499999982</v>
      </c>
      <c r="F29" s="25">
        <f>B29*0.025</f>
        <v>275.611875</v>
      </c>
      <c r="G29" s="27">
        <v>0</v>
      </c>
      <c r="H29" s="27">
        <v>0</v>
      </c>
      <c r="I29" s="56"/>
      <c r="J29" s="56"/>
      <c r="K29" s="56"/>
      <c r="O29" s="14">
        <f t="shared" si="4"/>
        <v>11582.37062500001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264587.47500000003</v>
      </c>
      <c r="C30" s="59">
        <f t="shared" si="5"/>
        <v>19844.128124999999</v>
      </c>
      <c r="D30" s="94">
        <f t="shared" si="5"/>
        <v>6614.6874999999982</v>
      </c>
      <c r="E30" s="94">
        <f t="shared" si="5"/>
        <v>19844.128124999999</v>
      </c>
      <c r="F30" s="94">
        <f t="shared" si="5"/>
        <v>6614.6856249999992</v>
      </c>
      <c r="G30" s="59">
        <f t="shared" si="5"/>
        <v>11582.36</v>
      </c>
      <c r="H30" s="59">
        <f t="shared" si="5"/>
        <v>0</v>
      </c>
      <c r="I30" s="44"/>
      <c r="J30" s="132"/>
      <c r="K30" s="44"/>
      <c r="O30" s="14">
        <f t="shared" si="4"/>
        <v>11582.37062500001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19844.060625000002</v>
      </c>
      <c r="D31" s="160">
        <f>B30*0.025</f>
        <v>6614.6868750000012</v>
      </c>
      <c r="E31" s="64">
        <f>C31</f>
        <v>19844.060625000002</v>
      </c>
      <c r="F31" s="64">
        <f>D31</f>
        <v>6614.6868750000012</v>
      </c>
      <c r="G31" s="65"/>
      <c r="H31" s="65"/>
      <c r="I31" s="44"/>
      <c r="J31" s="132"/>
      <c r="K31" s="44"/>
      <c r="O31" s="14">
        <f t="shared" si="4"/>
        <v>11582.37062500001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6.7499999997380655E-2</v>
      </c>
      <c r="D32" s="31">
        <f>D30-D31</f>
        <v>6.249999969440978E-4</v>
      </c>
      <c r="E32" s="31">
        <f>E30-E31</f>
        <v>6.7499999997380655E-2</v>
      </c>
      <c r="F32" s="31">
        <f>F30-F31</f>
        <v>-1.2500000020736479E-3</v>
      </c>
      <c r="G32" s="45"/>
      <c r="H32" s="45"/>
      <c r="I32" s="57"/>
      <c r="J32" s="57"/>
      <c r="K32" s="57"/>
      <c r="O32" s="14">
        <f t="shared" si="4"/>
        <v>11582.37062500001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-9456.64937499999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1.0625000009895302E-2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1.0625000009895302E-2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1.0625000009895302E-2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1.0625000009895302E-2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1.0625000009895302E-2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42">
    <tabColor rgb="FFFF0000"/>
  </sheetPr>
  <dimension ref="A1:WVV48"/>
  <sheetViews>
    <sheetView topLeftCell="A9" zoomScale="85" zoomScaleNormal="85" workbookViewId="0">
      <selection activeCell="D26" sqref="D26"/>
    </sheetView>
  </sheetViews>
  <sheetFormatPr defaultRowHeight="12.75"/>
  <cols>
    <col min="1" max="1" width="10.42578125" style="5" bestFit="1" customWidth="1"/>
    <col min="2" max="2" width="13.42578125" style="5" customWidth="1"/>
    <col min="3" max="4" width="12.42578125" style="5" customWidth="1"/>
    <col min="5" max="5" width="12.5703125" style="5" customWidth="1"/>
    <col min="6" max="8" width="13" style="5" customWidth="1"/>
    <col min="9" max="9" width="20.7109375" style="5" customWidth="1"/>
    <col min="10" max="10" width="14.7109375" style="5" customWidth="1"/>
    <col min="11" max="11" width="12.7109375" style="5" hidden="1" customWidth="1"/>
    <col min="12" max="13" width="17.7109375" style="5" hidden="1" customWidth="1"/>
    <col min="14" max="14" width="9.28515625" style="5" hidden="1" customWidth="1"/>
    <col min="15" max="18" width="11.28515625" style="5" customWidth="1"/>
    <col min="19" max="19" width="19.7109375" style="5" customWidth="1"/>
    <col min="20" max="258" width="9.140625" style="5"/>
    <col min="259" max="259" width="10.42578125" style="5" bestFit="1" customWidth="1"/>
    <col min="260" max="260" width="13.42578125" style="5" customWidth="1"/>
    <col min="261" max="261" width="12.42578125" style="5" customWidth="1"/>
    <col min="262" max="262" width="12.5703125" style="5" customWidth="1"/>
    <col min="263" max="265" width="13" style="5" customWidth="1"/>
    <col min="266" max="266" width="14.7109375" style="5" customWidth="1"/>
    <col min="267" max="270" width="9.28515625" style="5" hidden="1" customWidth="1"/>
    <col min="271" max="274" width="11.28515625" style="5" customWidth="1"/>
    <col min="275" max="275" width="19.7109375" style="5" customWidth="1"/>
    <col min="276" max="514" width="9.140625" style="5"/>
    <col min="515" max="515" width="10.42578125" style="5" bestFit="1" customWidth="1"/>
    <col min="516" max="516" width="13.42578125" style="5" customWidth="1"/>
    <col min="517" max="517" width="12.42578125" style="5" customWidth="1"/>
    <col min="518" max="518" width="12.5703125" style="5" customWidth="1"/>
    <col min="519" max="521" width="13" style="5" customWidth="1"/>
    <col min="522" max="522" width="14.7109375" style="5" customWidth="1"/>
    <col min="523" max="526" width="9.28515625" style="5" hidden="1" customWidth="1"/>
    <col min="527" max="530" width="11.28515625" style="5" customWidth="1"/>
    <col min="531" max="531" width="19.7109375" style="5" customWidth="1"/>
    <col min="532" max="770" width="9.140625" style="5"/>
    <col min="771" max="771" width="10.42578125" style="5" bestFit="1" customWidth="1"/>
    <col min="772" max="772" width="13.42578125" style="5" customWidth="1"/>
    <col min="773" max="773" width="12.42578125" style="5" customWidth="1"/>
    <col min="774" max="774" width="12.5703125" style="5" customWidth="1"/>
    <col min="775" max="777" width="13" style="5" customWidth="1"/>
    <col min="778" max="778" width="14.7109375" style="5" customWidth="1"/>
    <col min="779" max="782" width="9.28515625" style="5" hidden="1" customWidth="1"/>
    <col min="783" max="786" width="11.28515625" style="5" customWidth="1"/>
    <col min="787" max="787" width="19.7109375" style="5" customWidth="1"/>
    <col min="788" max="1026" width="9.140625" style="5"/>
    <col min="1027" max="1027" width="10.42578125" style="5" bestFit="1" customWidth="1"/>
    <col min="1028" max="1028" width="13.42578125" style="5" customWidth="1"/>
    <col min="1029" max="1029" width="12.42578125" style="5" customWidth="1"/>
    <col min="1030" max="1030" width="12.5703125" style="5" customWidth="1"/>
    <col min="1031" max="1033" width="13" style="5" customWidth="1"/>
    <col min="1034" max="1034" width="14.7109375" style="5" customWidth="1"/>
    <col min="1035" max="1038" width="9.28515625" style="5" hidden="1" customWidth="1"/>
    <col min="1039" max="1042" width="11.28515625" style="5" customWidth="1"/>
    <col min="1043" max="1043" width="19.7109375" style="5" customWidth="1"/>
    <col min="1044" max="1282" width="9.140625" style="5"/>
    <col min="1283" max="1283" width="10.42578125" style="5" bestFit="1" customWidth="1"/>
    <col min="1284" max="1284" width="13.42578125" style="5" customWidth="1"/>
    <col min="1285" max="1285" width="12.42578125" style="5" customWidth="1"/>
    <col min="1286" max="1286" width="12.5703125" style="5" customWidth="1"/>
    <col min="1287" max="1289" width="13" style="5" customWidth="1"/>
    <col min="1290" max="1290" width="14.7109375" style="5" customWidth="1"/>
    <col min="1291" max="1294" width="9.28515625" style="5" hidden="1" customWidth="1"/>
    <col min="1295" max="1298" width="11.28515625" style="5" customWidth="1"/>
    <col min="1299" max="1299" width="19.7109375" style="5" customWidth="1"/>
    <col min="1300" max="1538" width="9.140625" style="5"/>
    <col min="1539" max="1539" width="10.42578125" style="5" bestFit="1" customWidth="1"/>
    <col min="1540" max="1540" width="13.42578125" style="5" customWidth="1"/>
    <col min="1541" max="1541" width="12.42578125" style="5" customWidth="1"/>
    <col min="1542" max="1542" width="12.5703125" style="5" customWidth="1"/>
    <col min="1543" max="1545" width="13" style="5" customWidth="1"/>
    <col min="1546" max="1546" width="14.7109375" style="5" customWidth="1"/>
    <col min="1547" max="1550" width="9.28515625" style="5" hidden="1" customWidth="1"/>
    <col min="1551" max="1554" width="11.28515625" style="5" customWidth="1"/>
    <col min="1555" max="1555" width="19.7109375" style="5" customWidth="1"/>
    <col min="1556" max="1794" width="9.140625" style="5"/>
    <col min="1795" max="1795" width="10.42578125" style="5" bestFit="1" customWidth="1"/>
    <col min="1796" max="1796" width="13.42578125" style="5" customWidth="1"/>
    <col min="1797" max="1797" width="12.42578125" style="5" customWidth="1"/>
    <col min="1798" max="1798" width="12.5703125" style="5" customWidth="1"/>
    <col min="1799" max="1801" width="13" style="5" customWidth="1"/>
    <col min="1802" max="1802" width="14.7109375" style="5" customWidth="1"/>
    <col min="1803" max="1806" width="9.28515625" style="5" hidden="1" customWidth="1"/>
    <col min="1807" max="1810" width="11.28515625" style="5" customWidth="1"/>
    <col min="1811" max="1811" width="19.7109375" style="5" customWidth="1"/>
    <col min="1812" max="2050" width="9.140625" style="5"/>
    <col min="2051" max="2051" width="10.42578125" style="5" bestFit="1" customWidth="1"/>
    <col min="2052" max="2052" width="13.42578125" style="5" customWidth="1"/>
    <col min="2053" max="2053" width="12.42578125" style="5" customWidth="1"/>
    <col min="2054" max="2054" width="12.5703125" style="5" customWidth="1"/>
    <col min="2055" max="2057" width="13" style="5" customWidth="1"/>
    <col min="2058" max="2058" width="14.7109375" style="5" customWidth="1"/>
    <col min="2059" max="2062" width="9.28515625" style="5" hidden="1" customWidth="1"/>
    <col min="2063" max="2066" width="11.28515625" style="5" customWidth="1"/>
    <col min="2067" max="2067" width="19.7109375" style="5" customWidth="1"/>
    <col min="2068" max="2306" width="9.140625" style="5"/>
    <col min="2307" max="2307" width="10.42578125" style="5" bestFit="1" customWidth="1"/>
    <col min="2308" max="2308" width="13.42578125" style="5" customWidth="1"/>
    <col min="2309" max="2309" width="12.42578125" style="5" customWidth="1"/>
    <col min="2310" max="2310" width="12.5703125" style="5" customWidth="1"/>
    <col min="2311" max="2313" width="13" style="5" customWidth="1"/>
    <col min="2314" max="2314" width="14.7109375" style="5" customWidth="1"/>
    <col min="2315" max="2318" width="9.28515625" style="5" hidden="1" customWidth="1"/>
    <col min="2319" max="2322" width="11.28515625" style="5" customWidth="1"/>
    <col min="2323" max="2323" width="19.7109375" style="5" customWidth="1"/>
    <col min="2324" max="2562" width="9.140625" style="5"/>
    <col min="2563" max="2563" width="10.42578125" style="5" bestFit="1" customWidth="1"/>
    <col min="2564" max="2564" width="13.42578125" style="5" customWidth="1"/>
    <col min="2565" max="2565" width="12.42578125" style="5" customWidth="1"/>
    <col min="2566" max="2566" width="12.5703125" style="5" customWidth="1"/>
    <col min="2567" max="2569" width="13" style="5" customWidth="1"/>
    <col min="2570" max="2570" width="14.7109375" style="5" customWidth="1"/>
    <col min="2571" max="2574" width="9.28515625" style="5" hidden="1" customWidth="1"/>
    <col min="2575" max="2578" width="11.28515625" style="5" customWidth="1"/>
    <col min="2579" max="2579" width="19.7109375" style="5" customWidth="1"/>
    <col min="2580" max="2818" width="9.140625" style="5"/>
    <col min="2819" max="2819" width="10.42578125" style="5" bestFit="1" customWidth="1"/>
    <col min="2820" max="2820" width="13.42578125" style="5" customWidth="1"/>
    <col min="2821" max="2821" width="12.42578125" style="5" customWidth="1"/>
    <col min="2822" max="2822" width="12.5703125" style="5" customWidth="1"/>
    <col min="2823" max="2825" width="13" style="5" customWidth="1"/>
    <col min="2826" max="2826" width="14.7109375" style="5" customWidth="1"/>
    <col min="2827" max="2830" width="9.28515625" style="5" hidden="1" customWidth="1"/>
    <col min="2831" max="2834" width="11.28515625" style="5" customWidth="1"/>
    <col min="2835" max="2835" width="19.7109375" style="5" customWidth="1"/>
    <col min="2836" max="3074" width="9.140625" style="5"/>
    <col min="3075" max="3075" width="10.42578125" style="5" bestFit="1" customWidth="1"/>
    <col min="3076" max="3076" width="13.42578125" style="5" customWidth="1"/>
    <col min="3077" max="3077" width="12.42578125" style="5" customWidth="1"/>
    <col min="3078" max="3078" width="12.5703125" style="5" customWidth="1"/>
    <col min="3079" max="3081" width="13" style="5" customWidth="1"/>
    <col min="3082" max="3082" width="14.7109375" style="5" customWidth="1"/>
    <col min="3083" max="3086" width="9.28515625" style="5" hidden="1" customWidth="1"/>
    <col min="3087" max="3090" width="11.28515625" style="5" customWidth="1"/>
    <col min="3091" max="3091" width="19.7109375" style="5" customWidth="1"/>
    <col min="3092" max="3330" width="9.140625" style="5"/>
    <col min="3331" max="3331" width="10.42578125" style="5" bestFit="1" customWidth="1"/>
    <col min="3332" max="3332" width="13.42578125" style="5" customWidth="1"/>
    <col min="3333" max="3333" width="12.42578125" style="5" customWidth="1"/>
    <col min="3334" max="3334" width="12.5703125" style="5" customWidth="1"/>
    <col min="3335" max="3337" width="13" style="5" customWidth="1"/>
    <col min="3338" max="3338" width="14.7109375" style="5" customWidth="1"/>
    <col min="3339" max="3342" width="9.28515625" style="5" hidden="1" customWidth="1"/>
    <col min="3343" max="3346" width="11.28515625" style="5" customWidth="1"/>
    <col min="3347" max="3347" width="19.7109375" style="5" customWidth="1"/>
    <col min="3348" max="3586" width="9.140625" style="5"/>
    <col min="3587" max="3587" width="10.42578125" style="5" bestFit="1" customWidth="1"/>
    <col min="3588" max="3588" width="13.42578125" style="5" customWidth="1"/>
    <col min="3589" max="3589" width="12.42578125" style="5" customWidth="1"/>
    <col min="3590" max="3590" width="12.5703125" style="5" customWidth="1"/>
    <col min="3591" max="3593" width="13" style="5" customWidth="1"/>
    <col min="3594" max="3594" width="14.7109375" style="5" customWidth="1"/>
    <col min="3595" max="3598" width="9.28515625" style="5" hidden="1" customWidth="1"/>
    <col min="3599" max="3602" width="11.28515625" style="5" customWidth="1"/>
    <col min="3603" max="3603" width="19.7109375" style="5" customWidth="1"/>
    <col min="3604" max="3842" width="9.140625" style="5"/>
    <col min="3843" max="3843" width="10.42578125" style="5" bestFit="1" customWidth="1"/>
    <col min="3844" max="3844" width="13.42578125" style="5" customWidth="1"/>
    <col min="3845" max="3845" width="12.42578125" style="5" customWidth="1"/>
    <col min="3846" max="3846" width="12.5703125" style="5" customWidth="1"/>
    <col min="3847" max="3849" width="13" style="5" customWidth="1"/>
    <col min="3850" max="3850" width="14.7109375" style="5" customWidth="1"/>
    <col min="3851" max="3854" width="9.28515625" style="5" hidden="1" customWidth="1"/>
    <col min="3855" max="3858" width="11.28515625" style="5" customWidth="1"/>
    <col min="3859" max="3859" width="19.7109375" style="5" customWidth="1"/>
    <col min="3860" max="4098" width="9.140625" style="5"/>
    <col min="4099" max="4099" width="10.42578125" style="5" bestFit="1" customWidth="1"/>
    <col min="4100" max="4100" width="13.42578125" style="5" customWidth="1"/>
    <col min="4101" max="4101" width="12.42578125" style="5" customWidth="1"/>
    <col min="4102" max="4102" width="12.5703125" style="5" customWidth="1"/>
    <col min="4103" max="4105" width="13" style="5" customWidth="1"/>
    <col min="4106" max="4106" width="14.7109375" style="5" customWidth="1"/>
    <col min="4107" max="4110" width="9.28515625" style="5" hidden="1" customWidth="1"/>
    <col min="4111" max="4114" width="11.28515625" style="5" customWidth="1"/>
    <col min="4115" max="4115" width="19.7109375" style="5" customWidth="1"/>
    <col min="4116" max="4354" width="9.140625" style="5"/>
    <col min="4355" max="4355" width="10.42578125" style="5" bestFit="1" customWidth="1"/>
    <col min="4356" max="4356" width="13.42578125" style="5" customWidth="1"/>
    <col min="4357" max="4357" width="12.42578125" style="5" customWidth="1"/>
    <col min="4358" max="4358" width="12.5703125" style="5" customWidth="1"/>
    <col min="4359" max="4361" width="13" style="5" customWidth="1"/>
    <col min="4362" max="4362" width="14.7109375" style="5" customWidth="1"/>
    <col min="4363" max="4366" width="9.28515625" style="5" hidden="1" customWidth="1"/>
    <col min="4367" max="4370" width="11.28515625" style="5" customWidth="1"/>
    <col min="4371" max="4371" width="19.7109375" style="5" customWidth="1"/>
    <col min="4372" max="4610" width="9.140625" style="5"/>
    <col min="4611" max="4611" width="10.42578125" style="5" bestFit="1" customWidth="1"/>
    <col min="4612" max="4612" width="13.42578125" style="5" customWidth="1"/>
    <col min="4613" max="4613" width="12.42578125" style="5" customWidth="1"/>
    <col min="4614" max="4614" width="12.5703125" style="5" customWidth="1"/>
    <col min="4615" max="4617" width="13" style="5" customWidth="1"/>
    <col min="4618" max="4618" width="14.7109375" style="5" customWidth="1"/>
    <col min="4619" max="4622" width="9.28515625" style="5" hidden="1" customWidth="1"/>
    <col min="4623" max="4626" width="11.28515625" style="5" customWidth="1"/>
    <col min="4627" max="4627" width="19.7109375" style="5" customWidth="1"/>
    <col min="4628" max="4866" width="9.140625" style="5"/>
    <col min="4867" max="4867" width="10.42578125" style="5" bestFit="1" customWidth="1"/>
    <col min="4868" max="4868" width="13.42578125" style="5" customWidth="1"/>
    <col min="4869" max="4869" width="12.42578125" style="5" customWidth="1"/>
    <col min="4870" max="4870" width="12.5703125" style="5" customWidth="1"/>
    <col min="4871" max="4873" width="13" style="5" customWidth="1"/>
    <col min="4874" max="4874" width="14.7109375" style="5" customWidth="1"/>
    <col min="4875" max="4878" width="9.28515625" style="5" hidden="1" customWidth="1"/>
    <col min="4879" max="4882" width="11.28515625" style="5" customWidth="1"/>
    <col min="4883" max="4883" width="19.7109375" style="5" customWidth="1"/>
    <col min="4884" max="5122" width="9.140625" style="5"/>
    <col min="5123" max="5123" width="10.42578125" style="5" bestFit="1" customWidth="1"/>
    <col min="5124" max="5124" width="13.42578125" style="5" customWidth="1"/>
    <col min="5125" max="5125" width="12.42578125" style="5" customWidth="1"/>
    <col min="5126" max="5126" width="12.5703125" style="5" customWidth="1"/>
    <col min="5127" max="5129" width="13" style="5" customWidth="1"/>
    <col min="5130" max="5130" width="14.7109375" style="5" customWidth="1"/>
    <col min="5131" max="5134" width="9.28515625" style="5" hidden="1" customWidth="1"/>
    <col min="5135" max="5138" width="11.28515625" style="5" customWidth="1"/>
    <col min="5139" max="5139" width="19.7109375" style="5" customWidth="1"/>
    <col min="5140" max="5378" width="9.140625" style="5"/>
    <col min="5379" max="5379" width="10.42578125" style="5" bestFit="1" customWidth="1"/>
    <col min="5380" max="5380" width="13.42578125" style="5" customWidth="1"/>
    <col min="5381" max="5381" width="12.42578125" style="5" customWidth="1"/>
    <col min="5382" max="5382" width="12.5703125" style="5" customWidth="1"/>
    <col min="5383" max="5385" width="13" style="5" customWidth="1"/>
    <col min="5386" max="5386" width="14.7109375" style="5" customWidth="1"/>
    <col min="5387" max="5390" width="9.28515625" style="5" hidden="1" customWidth="1"/>
    <col min="5391" max="5394" width="11.28515625" style="5" customWidth="1"/>
    <col min="5395" max="5395" width="19.7109375" style="5" customWidth="1"/>
    <col min="5396" max="5634" width="9.140625" style="5"/>
    <col min="5635" max="5635" width="10.42578125" style="5" bestFit="1" customWidth="1"/>
    <col min="5636" max="5636" width="13.42578125" style="5" customWidth="1"/>
    <col min="5637" max="5637" width="12.42578125" style="5" customWidth="1"/>
    <col min="5638" max="5638" width="12.5703125" style="5" customWidth="1"/>
    <col min="5639" max="5641" width="13" style="5" customWidth="1"/>
    <col min="5642" max="5642" width="14.7109375" style="5" customWidth="1"/>
    <col min="5643" max="5646" width="9.28515625" style="5" hidden="1" customWidth="1"/>
    <col min="5647" max="5650" width="11.28515625" style="5" customWidth="1"/>
    <col min="5651" max="5651" width="19.7109375" style="5" customWidth="1"/>
    <col min="5652" max="5890" width="9.140625" style="5"/>
    <col min="5891" max="5891" width="10.42578125" style="5" bestFit="1" customWidth="1"/>
    <col min="5892" max="5892" width="13.42578125" style="5" customWidth="1"/>
    <col min="5893" max="5893" width="12.42578125" style="5" customWidth="1"/>
    <col min="5894" max="5894" width="12.5703125" style="5" customWidth="1"/>
    <col min="5895" max="5897" width="13" style="5" customWidth="1"/>
    <col min="5898" max="5898" width="14.7109375" style="5" customWidth="1"/>
    <col min="5899" max="5902" width="9.28515625" style="5" hidden="1" customWidth="1"/>
    <col min="5903" max="5906" width="11.28515625" style="5" customWidth="1"/>
    <col min="5907" max="5907" width="19.7109375" style="5" customWidth="1"/>
    <col min="5908" max="6146" width="9.140625" style="5"/>
    <col min="6147" max="6147" width="10.42578125" style="5" bestFit="1" customWidth="1"/>
    <col min="6148" max="6148" width="13.42578125" style="5" customWidth="1"/>
    <col min="6149" max="6149" width="12.42578125" style="5" customWidth="1"/>
    <col min="6150" max="6150" width="12.5703125" style="5" customWidth="1"/>
    <col min="6151" max="6153" width="13" style="5" customWidth="1"/>
    <col min="6154" max="6154" width="14.7109375" style="5" customWidth="1"/>
    <col min="6155" max="6158" width="9.28515625" style="5" hidden="1" customWidth="1"/>
    <col min="6159" max="6162" width="11.28515625" style="5" customWidth="1"/>
    <col min="6163" max="6163" width="19.7109375" style="5" customWidth="1"/>
    <col min="6164" max="6402" width="9.140625" style="5"/>
    <col min="6403" max="6403" width="10.42578125" style="5" bestFit="1" customWidth="1"/>
    <col min="6404" max="6404" width="13.42578125" style="5" customWidth="1"/>
    <col min="6405" max="6405" width="12.42578125" style="5" customWidth="1"/>
    <col min="6406" max="6406" width="12.5703125" style="5" customWidth="1"/>
    <col min="6407" max="6409" width="13" style="5" customWidth="1"/>
    <col min="6410" max="6410" width="14.7109375" style="5" customWidth="1"/>
    <col min="6411" max="6414" width="9.28515625" style="5" hidden="1" customWidth="1"/>
    <col min="6415" max="6418" width="11.28515625" style="5" customWidth="1"/>
    <col min="6419" max="6419" width="19.7109375" style="5" customWidth="1"/>
    <col min="6420" max="6658" width="9.140625" style="5"/>
    <col min="6659" max="6659" width="10.42578125" style="5" bestFit="1" customWidth="1"/>
    <col min="6660" max="6660" width="13.42578125" style="5" customWidth="1"/>
    <col min="6661" max="6661" width="12.42578125" style="5" customWidth="1"/>
    <col min="6662" max="6662" width="12.5703125" style="5" customWidth="1"/>
    <col min="6663" max="6665" width="13" style="5" customWidth="1"/>
    <col min="6666" max="6666" width="14.7109375" style="5" customWidth="1"/>
    <col min="6667" max="6670" width="9.28515625" style="5" hidden="1" customWidth="1"/>
    <col min="6671" max="6674" width="11.28515625" style="5" customWidth="1"/>
    <col min="6675" max="6675" width="19.7109375" style="5" customWidth="1"/>
    <col min="6676" max="6914" width="9.140625" style="5"/>
    <col min="6915" max="6915" width="10.42578125" style="5" bestFit="1" customWidth="1"/>
    <col min="6916" max="6916" width="13.42578125" style="5" customWidth="1"/>
    <col min="6917" max="6917" width="12.42578125" style="5" customWidth="1"/>
    <col min="6918" max="6918" width="12.5703125" style="5" customWidth="1"/>
    <col min="6919" max="6921" width="13" style="5" customWidth="1"/>
    <col min="6922" max="6922" width="14.7109375" style="5" customWidth="1"/>
    <col min="6923" max="6926" width="9.28515625" style="5" hidden="1" customWidth="1"/>
    <col min="6927" max="6930" width="11.28515625" style="5" customWidth="1"/>
    <col min="6931" max="6931" width="19.7109375" style="5" customWidth="1"/>
    <col min="6932" max="7170" width="9.140625" style="5"/>
    <col min="7171" max="7171" width="10.42578125" style="5" bestFit="1" customWidth="1"/>
    <col min="7172" max="7172" width="13.42578125" style="5" customWidth="1"/>
    <col min="7173" max="7173" width="12.42578125" style="5" customWidth="1"/>
    <col min="7174" max="7174" width="12.5703125" style="5" customWidth="1"/>
    <col min="7175" max="7177" width="13" style="5" customWidth="1"/>
    <col min="7178" max="7178" width="14.7109375" style="5" customWidth="1"/>
    <col min="7179" max="7182" width="9.28515625" style="5" hidden="1" customWidth="1"/>
    <col min="7183" max="7186" width="11.28515625" style="5" customWidth="1"/>
    <col min="7187" max="7187" width="19.7109375" style="5" customWidth="1"/>
    <col min="7188" max="7426" width="9.140625" style="5"/>
    <col min="7427" max="7427" width="10.42578125" style="5" bestFit="1" customWidth="1"/>
    <col min="7428" max="7428" width="13.42578125" style="5" customWidth="1"/>
    <col min="7429" max="7429" width="12.42578125" style="5" customWidth="1"/>
    <col min="7430" max="7430" width="12.5703125" style="5" customWidth="1"/>
    <col min="7431" max="7433" width="13" style="5" customWidth="1"/>
    <col min="7434" max="7434" width="14.7109375" style="5" customWidth="1"/>
    <col min="7435" max="7438" width="9.28515625" style="5" hidden="1" customWidth="1"/>
    <col min="7439" max="7442" width="11.28515625" style="5" customWidth="1"/>
    <col min="7443" max="7443" width="19.7109375" style="5" customWidth="1"/>
    <col min="7444" max="7682" width="9.140625" style="5"/>
    <col min="7683" max="7683" width="10.42578125" style="5" bestFit="1" customWidth="1"/>
    <col min="7684" max="7684" width="13.42578125" style="5" customWidth="1"/>
    <col min="7685" max="7685" width="12.42578125" style="5" customWidth="1"/>
    <col min="7686" max="7686" width="12.5703125" style="5" customWidth="1"/>
    <col min="7687" max="7689" width="13" style="5" customWidth="1"/>
    <col min="7690" max="7690" width="14.7109375" style="5" customWidth="1"/>
    <col min="7691" max="7694" width="9.28515625" style="5" hidden="1" customWidth="1"/>
    <col min="7695" max="7698" width="11.28515625" style="5" customWidth="1"/>
    <col min="7699" max="7699" width="19.7109375" style="5" customWidth="1"/>
    <col min="7700" max="7938" width="9.140625" style="5"/>
    <col min="7939" max="7939" width="10.42578125" style="5" bestFit="1" customWidth="1"/>
    <col min="7940" max="7940" width="13.42578125" style="5" customWidth="1"/>
    <col min="7941" max="7941" width="12.42578125" style="5" customWidth="1"/>
    <col min="7942" max="7942" width="12.5703125" style="5" customWidth="1"/>
    <col min="7943" max="7945" width="13" style="5" customWidth="1"/>
    <col min="7946" max="7946" width="14.7109375" style="5" customWidth="1"/>
    <col min="7947" max="7950" width="9.28515625" style="5" hidden="1" customWidth="1"/>
    <col min="7951" max="7954" width="11.28515625" style="5" customWidth="1"/>
    <col min="7955" max="7955" width="19.7109375" style="5" customWidth="1"/>
    <col min="7956" max="8194" width="9.140625" style="5"/>
    <col min="8195" max="8195" width="10.42578125" style="5" bestFit="1" customWidth="1"/>
    <col min="8196" max="8196" width="13.42578125" style="5" customWidth="1"/>
    <col min="8197" max="8197" width="12.42578125" style="5" customWidth="1"/>
    <col min="8198" max="8198" width="12.5703125" style="5" customWidth="1"/>
    <col min="8199" max="8201" width="13" style="5" customWidth="1"/>
    <col min="8202" max="8202" width="14.7109375" style="5" customWidth="1"/>
    <col min="8203" max="8206" width="9.28515625" style="5" hidden="1" customWidth="1"/>
    <col min="8207" max="8210" width="11.28515625" style="5" customWidth="1"/>
    <col min="8211" max="8211" width="19.7109375" style="5" customWidth="1"/>
    <col min="8212" max="8450" width="9.140625" style="5"/>
    <col min="8451" max="8451" width="10.42578125" style="5" bestFit="1" customWidth="1"/>
    <col min="8452" max="8452" width="13.42578125" style="5" customWidth="1"/>
    <col min="8453" max="8453" width="12.42578125" style="5" customWidth="1"/>
    <col min="8454" max="8454" width="12.5703125" style="5" customWidth="1"/>
    <col min="8455" max="8457" width="13" style="5" customWidth="1"/>
    <col min="8458" max="8458" width="14.7109375" style="5" customWidth="1"/>
    <col min="8459" max="8462" width="9.28515625" style="5" hidden="1" customWidth="1"/>
    <col min="8463" max="8466" width="11.28515625" style="5" customWidth="1"/>
    <col min="8467" max="8467" width="19.7109375" style="5" customWidth="1"/>
    <col min="8468" max="8706" width="9.140625" style="5"/>
    <col min="8707" max="8707" width="10.42578125" style="5" bestFit="1" customWidth="1"/>
    <col min="8708" max="8708" width="13.42578125" style="5" customWidth="1"/>
    <col min="8709" max="8709" width="12.42578125" style="5" customWidth="1"/>
    <col min="8710" max="8710" width="12.5703125" style="5" customWidth="1"/>
    <col min="8711" max="8713" width="13" style="5" customWidth="1"/>
    <col min="8714" max="8714" width="14.7109375" style="5" customWidth="1"/>
    <col min="8715" max="8718" width="9.28515625" style="5" hidden="1" customWidth="1"/>
    <col min="8719" max="8722" width="11.28515625" style="5" customWidth="1"/>
    <col min="8723" max="8723" width="19.7109375" style="5" customWidth="1"/>
    <col min="8724" max="8962" width="9.140625" style="5"/>
    <col min="8963" max="8963" width="10.42578125" style="5" bestFit="1" customWidth="1"/>
    <col min="8964" max="8964" width="13.42578125" style="5" customWidth="1"/>
    <col min="8965" max="8965" width="12.42578125" style="5" customWidth="1"/>
    <col min="8966" max="8966" width="12.5703125" style="5" customWidth="1"/>
    <col min="8967" max="8969" width="13" style="5" customWidth="1"/>
    <col min="8970" max="8970" width="14.7109375" style="5" customWidth="1"/>
    <col min="8971" max="8974" width="9.28515625" style="5" hidden="1" customWidth="1"/>
    <col min="8975" max="8978" width="11.28515625" style="5" customWidth="1"/>
    <col min="8979" max="8979" width="19.7109375" style="5" customWidth="1"/>
    <col min="8980" max="9218" width="9.140625" style="5"/>
    <col min="9219" max="9219" width="10.42578125" style="5" bestFit="1" customWidth="1"/>
    <col min="9220" max="9220" width="13.42578125" style="5" customWidth="1"/>
    <col min="9221" max="9221" width="12.42578125" style="5" customWidth="1"/>
    <col min="9222" max="9222" width="12.5703125" style="5" customWidth="1"/>
    <col min="9223" max="9225" width="13" style="5" customWidth="1"/>
    <col min="9226" max="9226" width="14.7109375" style="5" customWidth="1"/>
    <col min="9227" max="9230" width="9.28515625" style="5" hidden="1" customWidth="1"/>
    <col min="9231" max="9234" width="11.28515625" style="5" customWidth="1"/>
    <col min="9235" max="9235" width="19.7109375" style="5" customWidth="1"/>
    <col min="9236" max="9474" width="9.140625" style="5"/>
    <col min="9475" max="9475" width="10.42578125" style="5" bestFit="1" customWidth="1"/>
    <col min="9476" max="9476" width="13.42578125" style="5" customWidth="1"/>
    <col min="9477" max="9477" width="12.42578125" style="5" customWidth="1"/>
    <col min="9478" max="9478" width="12.5703125" style="5" customWidth="1"/>
    <col min="9479" max="9481" width="13" style="5" customWidth="1"/>
    <col min="9482" max="9482" width="14.7109375" style="5" customWidth="1"/>
    <col min="9483" max="9486" width="9.28515625" style="5" hidden="1" customWidth="1"/>
    <col min="9487" max="9490" width="11.28515625" style="5" customWidth="1"/>
    <col min="9491" max="9491" width="19.7109375" style="5" customWidth="1"/>
    <col min="9492" max="9730" width="9.140625" style="5"/>
    <col min="9731" max="9731" width="10.42578125" style="5" bestFit="1" customWidth="1"/>
    <col min="9732" max="9732" width="13.42578125" style="5" customWidth="1"/>
    <col min="9733" max="9733" width="12.42578125" style="5" customWidth="1"/>
    <col min="9734" max="9734" width="12.5703125" style="5" customWidth="1"/>
    <col min="9735" max="9737" width="13" style="5" customWidth="1"/>
    <col min="9738" max="9738" width="14.7109375" style="5" customWidth="1"/>
    <col min="9739" max="9742" width="9.28515625" style="5" hidden="1" customWidth="1"/>
    <col min="9743" max="9746" width="11.28515625" style="5" customWidth="1"/>
    <col min="9747" max="9747" width="19.7109375" style="5" customWidth="1"/>
    <col min="9748" max="9986" width="9.140625" style="5"/>
    <col min="9987" max="9987" width="10.42578125" style="5" bestFit="1" customWidth="1"/>
    <col min="9988" max="9988" width="13.42578125" style="5" customWidth="1"/>
    <col min="9989" max="9989" width="12.42578125" style="5" customWidth="1"/>
    <col min="9990" max="9990" width="12.5703125" style="5" customWidth="1"/>
    <col min="9991" max="9993" width="13" style="5" customWidth="1"/>
    <col min="9994" max="9994" width="14.7109375" style="5" customWidth="1"/>
    <col min="9995" max="9998" width="9.28515625" style="5" hidden="1" customWidth="1"/>
    <col min="9999" max="10002" width="11.28515625" style="5" customWidth="1"/>
    <col min="10003" max="10003" width="19.7109375" style="5" customWidth="1"/>
    <col min="10004" max="10242" width="9.140625" style="5"/>
    <col min="10243" max="10243" width="10.42578125" style="5" bestFit="1" customWidth="1"/>
    <col min="10244" max="10244" width="13.42578125" style="5" customWidth="1"/>
    <col min="10245" max="10245" width="12.42578125" style="5" customWidth="1"/>
    <col min="10246" max="10246" width="12.5703125" style="5" customWidth="1"/>
    <col min="10247" max="10249" width="13" style="5" customWidth="1"/>
    <col min="10250" max="10250" width="14.7109375" style="5" customWidth="1"/>
    <col min="10251" max="10254" width="9.28515625" style="5" hidden="1" customWidth="1"/>
    <col min="10255" max="10258" width="11.28515625" style="5" customWidth="1"/>
    <col min="10259" max="10259" width="19.7109375" style="5" customWidth="1"/>
    <col min="10260" max="10498" width="9.140625" style="5"/>
    <col min="10499" max="10499" width="10.42578125" style="5" bestFit="1" customWidth="1"/>
    <col min="10500" max="10500" width="13.42578125" style="5" customWidth="1"/>
    <col min="10501" max="10501" width="12.42578125" style="5" customWidth="1"/>
    <col min="10502" max="10502" width="12.5703125" style="5" customWidth="1"/>
    <col min="10503" max="10505" width="13" style="5" customWidth="1"/>
    <col min="10506" max="10506" width="14.7109375" style="5" customWidth="1"/>
    <col min="10507" max="10510" width="9.28515625" style="5" hidden="1" customWidth="1"/>
    <col min="10511" max="10514" width="11.28515625" style="5" customWidth="1"/>
    <col min="10515" max="10515" width="19.7109375" style="5" customWidth="1"/>
    <col min="10516" max="10754" width="9.140625" style="5"/>
    <col min="10755" max="10755" width="10.42578125" style="5" bestFit="1" customWidth="1"/>
    <col min="10756" max="10756" width="13.42578125" style="5" customWidth="1"/>
    <col min="10757" max="10757" width="12.42578125" style="5" customWidth="1"/>
    <col min="10758" max="10758" width="12.5703125" style="5" customWidth="1"/>
    <col min="10759" max="10761" width="13" style="5" customWidth="1"/>
    <col min="10762" max="10762" width="14.7109375" style="5" customWidth="1"/>
    <col min="10763" max="10766" width="9.28515625" style="5" hidden="1" customWidth="1"/>
    <col min="10767" max="10770" width="11.28515625" style="5" customWidth="1"/>
    <col min="10771" max="10771" width="19.7109375" style="5" customWidth="1"/>
    <col min="10772" max="11010" width="9.140625" style="5"/>
    <col min="11011" max="11011" width="10.42578125" style="5" bestFit="1" customWidth="1"/>
    <col min="11012" max="11012" width="13.42578125" style="5" customWidth="1"/>
    <col min="11013" max="11013" width="12.42578125" style="5" customWidth="1"/>
    <col min="11014" max="11014" width="12.5703125" style="5" customWidth="1"/>
    <col min="11015" max="11017" width="13" style="5" customWidth="1"/>
    <col min="11018" max="11018" width="14.7109375" style="5" customWidth="1"/>
    <col min="11019" max="11022" width="9.28515625" style="5" hidden="1" customWidth="1"/>
    <col min="11023" max="11026" width="11.28515625" style="5" customWidth="1"/>
    <col min="11027" max="11027" width="19.7109375" style="5" customWidth="1"/>
    <col min="11028" max="11266" width="9.140625" style="5"/>
    <col min="11267" max="11267" width="10.42578125" style="5" bestFit="1" customWidth="1"/>
    <col min="11268" max="11268" width="13.42578125" style="5" customWidth="1"/>
    <col min="11269" max="11269" width="12.42578125" style="5" customWidth="1"/>
    <col min="11270" max="11270" width="12.5703125" style="5" customWidth="1"/>
    <col min="11271" max="11273" width="13" style="5" customWidth="1"/>
    <col min="11274" max="11274" width="14.7109375" style="5" customWidth="1"/>
    <col min="11275" max="11278" width="9.28515625" style="5" hidden="1" customWidth="1"/>
    <col min="11279" max="11282" width="11.28515625" style="5" customWidth="1"/>
    <col min="11283" max="11283" width="19.7109375" style="5" customWidth="1"/>
    <col min="11284" max="11522" width="9.140625" style="5"/>
    <col min="11523" max="11523" width="10.42578125" style="5" bestFit="1" customWidth="1"/>
    <col min="11524" max="11524" width="13.42578125" style="5" customWidth="1"/>
    <col min="11525" max="11525" width="12.42578125" style="5" customWidth="1"/>
    <col min="11526" max="11526" width="12.5703125" style="5" customWidth="1"/>
    <col min="11527" max="11529" width="13" style="5" customWidth="1"/>
    <col min="11530" max="11530" width="14.7109375" style="5" customWidth="1"/>
    <col min="11531" max="11534" width="9.28515625" style="5" hidden="1" customWidth="1"/>
    <col min="11535" max="11538" width="11.28515625" style="5" customWidth="1"/>
    <col min="11539" max="11539" width="19.7109375" style="5" customWidth="1"/>
    <col min="11540" max="11778" width="9.140625" style="5"/>
    <col min="11779" max="11779" width="10.42578125" style="5" bestFit="1" customWidth="1"/>
    <col min="11780" max="11780" width="13.42578125" style="5" customWidth="1"/>
    <col min="11781" max="11781" width="12.42578125" style="5" customWidth="1"/>
    <col min="11782" max="11782" width="12.5703125" style="5" customWidth="1"/>
    <col min="11783" max="11785" width="13" style="5" customWidth="1"/>
    <col min="11786" max="11786" width="14.7109375" style="5" customWidth="1"/>
    <col min="11787" max="11790" width="9.28515625" style="5" hidden="1" customWidth="1"/>
    <col min="11791" max="11794" width="11.28515625" style="5" customWidth="1"/>
    <col min="11795" max="11795" width="19.7109375" style="5" customWidth="1"/>
    <col min="11796" max="12034" width="9.140625" style="5"/>
    <col min="12035" max="12035" width="10.42578125" style="5" bestFit="1" customWidth="1"/>
    <col min="12036" max="12036" width="13.42578125" style="5" customWidth="1"/>
    <col min="12037" max="12037" width="12.42578125" style="5" customWidth="1"/>
    <col min="12038" max="12038" width="12.5703125" style="5" customWidth="1"/>
    <col min="12039" max="12041" width="13" style="5" customWidth="1"/>
    <col min="12042" max="12042" width="14.7109375" style="5" customWidth="1"/>
    <col min="12043" max="12046" width="9.28515625" style="5" hidden="1" customWidth="1"/>
    <col min="12047" max="12050" width="11.28515625" style="5" customWidth="1"/>
    <col min="12051" max="12051" width="19.7109375" style="5" customWidth="1"/>
    <col min="12052" max="12290" width="9.140625" style="5"/>
    <col min="12291" max="12291" width="10.42578125" style="5" bestFit="1" customWidth="1"/>
    <col min="12292" max="12292" width="13.42578125" style="5" customWidth="1"/>
    <col min="12293" max="12293" width="12.42578125" style="5" customWidth="1"/>
    <col min="12294" max="12294" width="12.5703125" style="5" customWidth="1"/>
    <col min="12295" max="12297" width="13" style="5" customWidth="1"/>
    <col min="12298" max="12298" width="14.7109375" style="5" customWidth="1"/>
    <col min="12299" max="12302" width="9.28515625" style="5" hidden="1" customWidth="1"/>
    <col min="12303" max="12306" width="11.28515625" style="5" customWidth="1"/>
    <col min="12307" max="12307" width="19.7109375" style="5" customWidth="1"/>
    <col min="12308" max="12546" width="9.140625" style="5"/>
    <col min="12547" max="12547" width="10.42578125" style="5" bestFit="1" customWidth="1"/>
    <col min="12548" max="12548" width="13.42578125" style="5" customWidth="1"/>
    <col min="12549" max="12549" width="12.42578125" style="5" customWidth="1"/>
    <col min="12550" max="12550" width="12.5703125" style="5" customWidth="1"/>
    <col min="12551" max="12553" width="13" style="5" customWidth="1"/>
    <col min="12554" max="12554" width="14.7109375" style="5" customWidth="1"/>
    <col min="12555" max="12558" width="9.28515625" style="5" hidden="1" customWidth="1"/>
    <col min="12559" max="12562" width="11.28515625" style="5" customWidth="1"/>
    <col min="12563" max="12563" width="19.7109375" style="5" customWidth="1"/>
    <col min="12564" max="12802" width="9.140625" style="5"/>
    <col min="12803" max="12803" width="10.42578125" style="5" bestFit="1" customWidth="1"/>
    <col min="12804" max="12804" width="13.42578125" style="5" customWidth="1"/>
    <col min="12805" max="12805" width="12.42578125" style="5" customWidth="1"/>
    <col min="12806" max="12806" width="12.5703125" style="5" customWidth="1"/>
    <col min="12807" max="12809" width="13" style="5" customWidth="1"/>
    <col min="12810" max="12810" width="14.7109375" style="5" customWidth="1"/>
    <col min="12811" max="12814" width="9.28515625" style="5" hidden="1" customWidth="1"/>
    <col min="12815" max="12818" width="11.28515625" style="5" customWidth="1"/>
    <col min="12819" max="12819" width="19.7109375" style="5" customWidth="1"/>
    <col min="12820" max="13058" width="9.140625" style="5"/>
    <col min="13059" max="13059" width="10.42578125" style="5" bestFit="1" customWidth="1"/>
    <col min="13060" max="13060" width="13.42578125" style="5" customWidth="1"/>
    <col min="13061" max="13061" width="12.42578125" style="5" customWidth="1"/>
    <col min="13062" max="13062" width="12.5703125" style="5" customWidth="1"/>
    <col min="13063" max="13065" width="13" style="5" customWidth="1"/>
    <col min="13066" max="13066" width="14.7109375" style="5" customWidth="1"/>
    <col min="13067" max="13070" width="9.28515625" style="5" hidden="1" customWidth="1"/>
    <col min="13071" max="13074" width="11.28515625" style="5" customWidth="1"/>
    <col min="13075" max="13075" width="19.7109375" style="5" customWidth="1"/>
    <col min="13076" max="13314" width="9.140625" style="5"/>
    <col min="13315" max="13315" width="10.42578125" style="5" bestFit="1" customWidth="1"/>
    <col min="13316" max="13316" width="13.42578125" style="5" customWidth="1"/>
    <col min="13317" max="13317" width="12.42578125" style="5" customWidth="1"/>
    <col min="13318" max="13318" width="12.5703125" style="5" customWidth="1"/>
    <col min="13319" max="13321" width="13" style="5" customWidth="1"/>
    <col min="13322" max="13322" width="14.7109375" style="5" customWidth="1"/>
    <col min="13323" max="13326" width="9.28515625" style="5" hidden="1" customWidth="1"/>
    <col min="13327" max="13330" width="11.28515625" style="5" customWidth="1"/>
    <col min="13331" max="13331" width="19.7109375" style="5" customWidth="1"/>
    <col min="13332" max="13570" width="9.140625" style="5"/>
    <col min="13571" max="13571" width="10.42578125" style="5" bestFit="1" customWidth="1"/>
    <col min="13572" max="13572" width="13.42578125" style="5" customWidth="1"/>
    <col min="13573" max="13573" width="12.42578125" style="5" customWidth="1"/>
    <col min="13574" max="13574" width="12.5703125" style="5" customWidth="1"/>
    <col min="13575" max="13577" width="13" style="5" customWidth="1"/>
    <col min="13578" max="13578" width="14.7109375" style="5" customWidth="1"/>
    <col min="13579" max="13582" width="9.28515625" style="5" hidden="1" customWidth="1"/>
    <col min="13583" max="13586" width="11.28515625" style="5" customWidth="1"/>
    <col min="13587" max="13587" width="19.7109375" style="5" customWidth="1"/>
    <col min="13588" max="13826" width="9.140625" style="5"/>
    <col min="13827" max="13827" width="10.42578125" style="5" bestFit="1" customWidth="1"/>
    <col min="13828" max="13828" width="13.42578125" style="5" customWidth="1"/>
    <col min="13829" max="13829" width="12.42578125" style="5" customWidth="1"/>
    <col min="13830" max="13830" width="12.5703125" style="5" customWidth="1"/>
    <col min="13831" max="13833" width="13" style="5" customWidth="1"/>
    <col min="13834" max="13834" width="14.7109375" style="5" customWidth="1"/>
    <col min="13835" max="13838" width="9.28515625" style="5" hidden="1" customWidth="1"/>
    <col min="13839" max="13842" width="11.28515625" style="5" customWidth="1"/>
    <col min="13843" max="13843" width="19.7109375" style="5" customWidth="1"/>
    <col min="13844" max="14082" width="9.140625" style="5"/>
    <col min="14083" max="14083" width="10.42578125" style="5" bestFit="1" customWidth="1"/>
    <col min="14084" max="14084" width="13.42578125" style="5" customWidth="1"/>
    <col min="14085" max="14085" width="12.42578125" style="5" customWidth="1"/>
    <col min="14086" max="14086" width="12.5703125" style="5" customWidth="1"/>
    <col min="14087" max="14089" width="13" style="5" customWidth="1"/>
    <col min="14090" max="14090" width="14.7109375" style="5" customWidth="1"/>
    <col min="14091" max="14094" width="9.28515625" style="5" hidden="1" customWidth="1"/>
    <col min="14095" max="14098" width="11.28515625" style="5" customWidth="1"/>
    <col min="14099" max="14099" width="19.7109375" style="5" customWidth="1"/>
    <col min="14100" max="14338" width="9.140625" style="5"/>
    <col min="14339" max="14339" width="10.42578125" style="5" bestFit="1" customWidth="1"/>
    <col min="14340" max="14340" width="13.42578125" style="5" customWidth="1"/>
    <col min="14341" max="14341" width="12.42578125" style="5" customWidth="1"/>
    <col min="14342" max="14342" width="12.5703125" style="5" customWidth="1"/>
    <col min="14343" max="14345" width="13" style="5" customWidth="1"/>
    <col min="14346" max="14346" width="14.7109375" style="5" customWidth="1"/>
    <col min="14347" max="14350" width="9.28515625" style="5" hidden="1" customWidth="1"/>
    <col min="14351" max="14354" width="11.28515625" style="5" customWidth="1"/>
    <col min="14355" max="14355" width="19.7109375" style="5" customWidth="1"/>
    <col min="14356" max="14594" width="9.140625" style="5"/>
    <col min="14595" max="14595" width="10.42578125" style="5" bestFit="1" customWidth="1"/>
    <col min="14596" max="14596" width="13.42578125" style="5" customWidth="1"/>
    <col min="14597" max="14597" width="12.42578125" style="5" customWidth="1"/>
    <col min="14598" max="14598" width="12.5703125" style="5" customWidth="1"/>
    <col min="14599" max="14601" width="13" style="5" customWidth="1"/>
    <col min="14602" max="14602" width="14.7109375" style="5" customWidth="1"/>
    <col min="14603" max="14606" width="9.28515625" style="5" hidden="1" customWidth="1"/>
    <col min="14607" max="14610" width="11.28515625" style="5" customWidth="1"/>
    <col min="14611" max="14611" width="19.7109375" style="5" customWidth="1"/>
    <col min="14612" max="14850" width="9.140625" style="5"/>
    <col min="14851" max="14851" width="10.42578125" style="5" bestFit="1" customWidth="1"/>
    <col min="14852" max="14852" width="13.42578125" style="5" customWidth="1"/>
    <col min="14853" max="14853" width="12.42578125" style="5" customWidth="1"/>
    <col min="14854" max="14854" width="12.5703125" style="5" customWidth="1"/>
    <col min="14855" max="14857" width="13" style="5" customWidth="1"/>
    <col min="14858" max="14858" width="14.7109375" style="5" customWidth="1"/>
    <col min="14859" max="14862" width="9.28515625" style="5" hidden="1" customWidth="1"/>
    <col min="14863" max="14866" width="11.28515625" style="5" customWidth="1"/>
    <col min="14867" max="14867" width="19.7109375" style="5" customWidth="1"/>
    <col min="14868" max="15106" width="9.140625" style="5"/>
    <col min="15107" max="15107" width="10.42578125" style="5" bestFit="1" customWidth="1"/>
    <col min="15108" max="15108" width="13.42578125" style="5" customWidth="1"/>
    <col min="15109" max="15109" width="12.42578125" style="5" customWidth="1"/>
    <col min="15110" max="15110" width="12.5703125" style="5" customWidth="1"/>
    <col min="15111" max="15113" width="13" style="5" customWidth="1"/>
    <col min="15114" max="15114" width="14.7109375" style="5" customWidth="1"/>
    <col min="15115" max="15118" width="9.28515625" style="5" hidden="1" customWidth="1"/>
    <col min="15119" max="15122" width="11.28515625" style="5" customWidth="1"/>
    <col min="15123" max="15123" width="19.7109375" style="5" customWidth="1"/>
    <col min="15124" max="15362" width="9.140625" style="5"/>
    <col min="15363" max="15363" width="10.42578125" style="5" bestFit="1" customWidth="1"/>
    <col min="15364" max="15364" width="13.42578125" style="5" customWidth="1"/>
    <col min="15365" max="15365" width="12.42578125" style="5" customWidth="1"/>
    <col min="15366" max="15366" width="12.5703125" style="5" customWidth="1"/>
    <col min="15367" max="15369" width="13" style="5" customWidth="1"/>
    <col min="15370" max="15370" width="14.7109375" style="5" customWidth="1"/>
    <col min="15371" max="15374" width="9.28515625" style="5" hidden="1" customWidth="1"/>
    <col min="15375" max="15378" width="11.28515625" style="5" customWidth="1"/>
    <col min="15379" max="15379" width="19.7109375" style="5" customWidth="1"/>
    <col min="15380" max="15618" width="9.140625" style="5"/>
    <col min="15619" max="15619" width="10.42578125" style="5" bestFit="1" customWidth="1"/>
    <col min="15620" max="15620" width="13.42578125" style="5" customWidth="1"/>
    <col min="15621" max="15621" width="12.42578125" style="5" customWidth="1"/>
    <col min="15622" max="15622" width="12.5703125" style="5" customWidth="1"/>
    <col min="15623" max="15625" width="13" style="5" customWidth="1"/>
    <col min="15626" max="15626" width="14.7109375" style="5" customWidth="1"/>
    <col min="15627" max="15630" width="9.28515625" style="5" hidden="1" customWidth="1"/>
    <col min="15631" max="15634" width="11.28515625" style="5" customWidth="1"/>
    <col min="15635" max="15635" width="19.7109375" style="5" customWidth="1"/>
    <col min="15636" max="15874" width="9.140625" style="5"/>
    <col min="15875" max="15875" width="10.42578125" style="5" bestFit="1" customWidth="1"/>
    <col min="15876" max="15876" width="13.42578125" style="5" customWidth="1"/>
    <col min="15877" max="15877" width="12.42578125" style="5" customWidth="1"/>
    <col min="15878" max="15878" width="12.5703125" style="5" customWidth="1"/>
    <col min="15879" max="15881" width="13" style="5" customWidth="1"/>
    <col min="15882" max="15882" width="14.7109375" style="5" customWidth="1"/>
    <col min="15883" max="15886" width="9.28515625" style="5" hidden="1" customWidth="1"/>
    <col min="15887" max="15890" width="11.28515625" style="5" customWidth="1"/>
    <col min="15891" max="15891" width="19.7109375" style="5" customWidth="1"/>
    <col min="15892" max="16130" width="9.140625" style="5"/>
    <col min="16131" max="16131" width="10.42578125" style="5" bestFit="1" customWidth="1"/>
    <col min="16132" max="16132" width="13.42578125" style="5" customWidth="1"/>
    <col min="16133" max="16133" width="12.42578125" style="5" customWidth="1"/>
    <col min="16134" max="16134" width="12.5703125" style="5" customWidth="1"/>
    <col min="16135" max="16137" width="13" style="5" customWidth="1"/>
    <col min="16138" max="16138" width="14.7109375" style="5" customWidth="1"/>
    <col min="16139" max="16142" width="9.28515625" style="5" hidden="1" customWidth="1"/>
    <col min="16143" max="16146" width="11.28515625" style="5" customWidth="1"/>
    <col min="16147" max="16147" width="19.7109375" style="5" customWidth="1"/>
    <col min="16148" max="16383" width="9.140625" style="5"/>
    <col min="16384" max="16384" width="8.7109375" style="5" customWidth="1"/>
  </cols>
  <sheetData>
    <row r="1" spans="1:25" ht="13.9" customHeight="1" thickBot="1">
      <c r="A1" s="1" t="s">
        <v>0</v>
      </c>
      <c r="B1" s="205" t="s">
        <v>108</v>
      </c>
      <c r="C1" s="205"/>
      <c r="D1" s="1" t="s">
        <v>1</v>
      </c>
      <c r="E1" s="2">
        <v>9</v>
      </c>
      <c r="F1" s="2"/>
      <c r="G1" s="2"/>
      <c r="H1" s="3" t="s">
        <v>2</v>
      </c>
      <c r="I1" s="4">
        <v>37119</v>
      </c>
      <c r="L1" s="208" t="s">
        <v>3</v>
      </c>
      <c r="M1" s="208"/>
      <c r="N1"/>
      <c r="T1"/>
      <c r="U1"/>
      <c r="V1"/>
    </row>
    <row r="2" spans="1:25" ht="15">
      <c r="A2" s="1" t="s">
        <v>4</v>
      </c>
      <c r="B2" s="206">
        <v>396023559</v>
      </c>
      <c r="C2" s="206"/>
      <c r="D2"/>
      <c r="E2" s="6" t="s">
        <v>94</v>
      </c>
      <c r="F2" s="6"/>
      <c r="G2" s="6"/>
      <c r="H2" s="3" t="s">
        <v>5</v>
      </c>
      <c r="I2" s="4">
        <v>23904</v>
      </c>
      <c r="K2" s="7">
        <v>2007</v>
      </c>
      <c r="L2" s="11">
        <v>2007</v>
      </c>
      <c r="M2" s="11">
        <v>2007</v>
      </c>
      <c r="N2"/>
      <c r="O2" s="8">
        <v>58000</v>
      </c>
      <c r="P2" s="9"/>
      <c r="Q2" s="9"/>
      <c r="R2" s="8">
        <v>19500</v>
      </c>
      <c r="S2" s="10"/>
      <c r="T2"/>
      <c r="U2"/>
      <c r="V2" s="205"/>
      <c r="W2" s="205"/>
      <c r="X2" s="205"/>
      <c r="Y2" s="205"/>
    </row>
    <row r="3" spans="1:25" ht="15">
      <c r="A3" s="11" t="s">
        <v>6</v>
      </c>
      <c r="B3" s="11" t="s">
        <v>7</v>
      </c>
      <c r="C3" s="11" t="s">
        <v>8</v>
      </c>
      <c r="D3" s="11" t="s">
        <v>8</v>
      </c>
      <c r="E3" s="11" t="s">
        <v>9</v>
      </c>
      <c r="F3" s="11" t="s">
        <v>10</v>
      </c>
      <c r="G3" s="11" t="s">
        <v>53</v>
      </c>
      <c r="H3" s="3" t="s">
        <v>11</v>
      </c>
      <c r="I3" s="125">
        <v>83404.800000000003</v>
      </c>
      <c r="J3" s="49"/>
      <c r="K3" s="12" t="s">
        <v>12</v>
      </c>
      <c r="L3" s="13" t="s">
        <v>13</v>
      </c>
      <c r="M3" s="13" t="s">
        <v>13</v>
      </c>
      <c r="N3"/>
      <c r="O3" s="14">
        <f>-SUM(C30:E30)</f>
        <v>-17144.300000000003</v>
      </c>
      <c r="R3" s="14">
        <v>0</v>
      </c>
      <c r="S3" s="15" t="s">
        <v>14</v>
      </c>
      <c r="T3"/>
      <c r="U3" s="16"/>
      <c r="V3" s="206"/>
      <c r="W3" s="206"/>
      <c r="X3" s="206"/>
      <c r="Y3" s="206"/>
    </row>
    <row r="4" spans="1:25" ht="15.7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3" t="s">
        <v>17</v>
      </c>
      <c r="I4" s="18">
        <f>I3/E1</f>
        <v>9267.2000000000007</v>
      </c>
      <c r="J4" s="49"/>
      <c r="K4" s="12" t="s">
        <v>16</v>
      </c>
      <c r="L4" s="13" t="s">
        <v>18</v>
      </c>
      <c r="M4" s="13" t="s">
        <v>19</v>
      </c>
      <c r="N4"/>
      <c r="O4" s="19">
        <f>SUM(O2:O3)</f>
        <v>40855.699999999997</v>
      </c>
      <c r="P4" s="20" t="s">
        <v>44</v>
      </c>
      <c r="Q4" s="20"/>
      <c r="R4" s="14">
        <v>6500</v>
      </c>
      <c r="S4" s="15" t="s">
        <v>20</v>
      </c>
      <c r="T4"/>
      <c r="U4" s="16"/>
    </row>
    <row r="5" spans="1:25" ht="15">
      <c r="A5" s="21" t="s">
        <v>21</v>
      </c>
      <c r="B5" s="21" t="s">
        <v>22</v>
      </c>
      <c r="C5" s="21" t="s">
        <v>46</v>
      </c>
      <c r="D5" s="21" t="s">
        <v>117</v>
      </c>
      <c r="E5" s="21" t="s">
        <v>24</v>
      </c>
      <c r="F5" s="21" t="s">
        <v>25</v>
      </c>
      <c r="G5" s="21" t="s">
        <v>32</v>
      </c>
      <c r="H5" s="3" t="s">
        <v>26</v>
      </c>
      <c r="I5" s="3">
        <f>I4/2</f>
        <v>4633.6000000000004</v>
      </c>
      <c r="J5" s="49"/>
      <c r="K5" s="22" t="s">
        <v>27</v>
      </c>
      <c r="L5" s="21" t="s">
        <v>28</v>
      </c>
      <c r="M5" s="21" t="s">
        <v>28</v>
      </c>
      <c r="N5"/>
      <c r="R5" s="14">
        <f>-D30</f>
        <v>-2143.0399999999995</v>
      </c>
      <c r="S5" s="15" t="s">
        <v>29</v>
      </c>
      <c r="T5"/>
      <c r="U5" s="16"/>
    </row>
    <row r="6" spans="1:25" ht="15.7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B6*0.1</f>
        <v>0</v>
      </c>
      <c r="F6" s="27">
        <v>0</v>
      </c>
      <c r="G6" s="27">
        <v>0</v>
      </c>
      <c r="I6" s="16"/>
      <c r="J6" s="28"/>
      <c r="K6" s="29" t="e">
        <v>#REF!</v>
      </c>
      <c r="L6" s="30" t="e">
        <v>#REF!</v>
      </c>
      <c r="M6" s="30" t="e">
        <v>#REF!</v>
      </c>
      <c r="N6"/>
      <c r="O6" s="76" t="s">
        <v>116</v>
      </c>
      <c r="P6" s="77"/>
      <c r="Q6" s="77"/>
      <c r="R6" s="19">
        <f>SUM(R2:R5)</f>
        <v>23856.959999999999</v>
      </c>
      <c r="S6" s="32" t="s">
        <v>93</v>
      </c>
      <c r="T6"/>
      <c r="U6" s="16"/>
    </row>
    <row r="7" spans="1:25" ht="15.7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3" si="2">B7*0.1</f>
        <v>0</v>
      </c>
      <c r="F7" s="27">
        <v>0</v>
      </c>
      <c r="G7" s="27">
        <v>0</v>
      </c>
      <c r="I7" s="16"/>
      <c r="J7" s="28"/>
      <c r="K7" s="29" t="e">
        <v>#REF!</v>
      </c>
      <c r="L7" s="30" t="e">
        <v>#REF!</v>
      </c>
      <c r="M7" s="30" t="e">
        <v>#REF!</v>
      </c>
      <c r="N7"/>
      <c r="O7" s="76" t="s">
        <v>107</v>
      </c>
      <c r="P7" s="77"/>
      <c r="Q7" s="77"/>
      <c r="R7" s="78" t="s">
        <v>45</v>
      </c>
      <c r="S7" s="79"/>
      <c r="T7"/>
      <c r="U7" s="16"/>
    </row>
    <row r="8" spans="1:25" ht="15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7">
        <v>0</v>
      </c>
      <c r="G8" s="27">
        <v>0</v>
      </c>
      <c r="I8" s="16"/>
      <c r="J8" s="28"/>
      <c r="K8" s="29" t="e">
        <v>#REF!</v>
      </c>
      <c r="L8" s="30" t="e">
        <v>#REF!</v>
      </c>
      <c r="M8" s="30" t="e">
        <v>#REF!</v>
      </c>
      <c r="N8"/>
      <c r="O8" s="31"/>
      <c r="R8" s="33">
        <f>O4</f>
        <v>40855.699999999997</v>
      </c>
      <c r="S8" s="34" t="s">
        <v>101</v>
      </c>
      <c r="T8"/>
      <c r="U8" s="16"/>
    </row>
    <row r="9" spans="1:25" ht="15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7">
        <v>0</v>
      </c>
      <c r="G9" s="27">
        <v>0</v>
      </c>
      <c r="I9" s="16"/>
      <c r="J9" s="28"/>
      <c r="K9" s="29" t="e">
        <v>#REF!</v>
      </c>
      <c r="L9" s="30" t="e">
        <v>#REF!</v>
      </c>
      <c r="M9" s="30" t="e">
        <v>#REF!</v>
      </c>
      <c r="N9"/>
      <c r="O9" s="35"/>
      <c r="P9" s="36"/>
      <c r="Q9" s="36"/>
      <c r="R9" s="14">
        <v>0</v>
      </c>
      <c r="S9" s="15" t="s">
        <v>14</v>
      </c>
      <c r="T9"/>
      <c r="U9" s="16"/>
    </row>
    <row r="10" spans="1:25" ht="15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7">
        <v>0</v>
      </c>
      <c r="G10" s="27">
        <v>0</v>
      </c>
      <c r="I10" s="80" t="s">
        <v>109</v>
      </c>
      <c r="J10" s="81"/>
      <c r="K10" s="82"/>
      <c r="L10" s="83"/>
      <c r="M10" s="83"/>
      <c r="N10" s="84"/>
      <c r="O10" s="85"/>
      <c r="P10" s="86"/>
      <c r="Q10" s="84"/>
      <c r="R10" s="14">
        <v>6500</v>
      </c>
      <c r="S10" s="15" t="s">
        <v>20</v>
      </c>
      <c r="T10"/>
      <c r="U10" s="16"/>
    </row>
    <row r="11" spans="1:25" ht="15.7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7">
        <v>0</v>
      </c>
      <c r="G11" s="27">
        <v>0</v>
      </c>
      <c r="I11" s="80" t="s">
        <v>97</v>
      </c>
      <c r="J11" s="81"/>
      <c r="K11" s="87"/>
      <c r="L11" s="88"/>
      <c r="M11" s="88"/>
      <c r="N11" s="84"/>
      <c r="O11" s="85"/>
      <c r="P11" s="86"/>
      <c r="Q11" s="84"/>
      <c r="R11" s="19">
        <f>SUM(R8:R10)</f>
        <v>47355.7</v>
      </c>
      <c r="S11" s="37"/>
      <c r="T11"/>
      <c r="U11" s="41"/>
      <c r="V11"/>
    </row>
    <row r="12" spans="1:25" ht="15.7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7">
        <v>0</v>
      </c>
      <c r="G12" s="27">
        <v>0</v>
      </c>
      <c r="I12" s="80" t="s">
        <v>112</v>
      </c>
      <c r="J12" s="84"/>
      <c r="K12" s="87"/>
      <c r="L12" s="88"/>
      <c r="M12" s="90"/>
      <c r="N12" s="84"/>
      <c r="O12" s="85"/>
      <c r="P12" s="86"/>
      <c r="Q12" s="84"/>
      <c r="R12" s="38"/>
      <c r="S12" s="39"/>
      <c r="T12"/>
      <c r="U12" s="31"/>
      <c r="V12" s="31"/>
      <c r="W12" s="89"/>
    </row>
    <row r="13" spans="1:25" ht="15.75" thickBot="1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7">
        <v>0</v>
      </c>
      <c r="G13" s="27">
        <v>0</v>
      </c>
      <c r="I13" s="80" t="s">
        <v>105</v>
      </c>
      <c r="J13" s="81"/>
      <c r="K13" s="91" t="e">
        <v>#REF!</v>
      </c>
      <c r="L13" s="92" t="e">
        <v>#REF!</v>
      </c>
      <c r="M13" s="92" t="e">
        <v>#REF!</v>
      </c>
      <c r="N13" s="84"/>
      <c r="O13" s="85"/>
      <c r="P13" s="86"/>
      <c r="Q13" s="84"/>
      <c r="R13" s="40" t="s">
        <v>30</v>
      </c>
      <c r="S13" s="10"/>
      <c r="T13"/>
      <c r="U13" s="89"/>
      <c r="V13" s="89"/>
    </row>
    <row r="14" spans="1:25" ht="15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7">
        <v>0</v>
      </c>
      <c r="G14" s="27">
        <v>0</v>
      </c>
      <c r="K14" s="209" t="e">
        <f>IF(#REF!&gt;=0,"Total&lt;45K eligible for SRA","&gt;45K Not eligible for SRA")</f>
        <v>#REF!</v>
      </c>
      <c r="L14" s="210"/>
      <c r="M14" s="211"/>
      <c r="O14" s="31"/>
      <c r="P14" s="41"/>
      <c r="R14" s="14">
        <f>IF(R11&lt;R6,R11,R6)</f>
        <v>23856.959999999999</v>
      </c>
      <c r="S14" s="42" t="s">
        <v>31</v>
      </c>
      <c r="T14"/>
      <c r="U14" s="31"/>
      <c r="V14" s="31"/>
    </row>
    <row r="15" spans="1:25" ht="15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7">
        <v>0</v>
      </c>
      <c r="G15" s="27">
        <v>0</v>
      </c>
      <c r="I15"/>
      <c r="J15"/>
      <c r="K15" s="212" t="e">
        <v>#REF!</v>
      </c>
      <c r="L15" s="213"/>
      <c r="M15" s="214"/>
      <c r="N15"/>
      <c r="O15" s="44"/>
      <c r="P15" s="41"/>
      <c r="R15" s="14">
        <f>R14-F6</f>
        <v>23856.959999999999</v>
      </c>
      <c r="S15" s="23">
        <v>40553</v>
      </c>
      <c r="T15"/>
      <c r="U15" s="31"/>
      <c r="V15"/>
    </row>
    <row r="16" spans="1:25" ht="15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7">
        <v>0</v>
      </c>
      <c r="G16" s="27">
        <v>0</v>
      </c>
      <c r="H16" s="3"/>
      <c r="I16"/>
      <c r="J16"/>
      <c r="K16" s="45"/>
      <c r="L16" s="45"/>
      <c r="M16" s="45"/>
      <c r="N16" s="45"/>
      <c r="O16" s="45"/>
      <c r="P16" s="46"/>
      <c r="Q16" s="46"/>
      <c r="R16" s="14">
        <f t="shared" ref="R16:R38" si="3">R15-F7</f>
        <v>23856.959999999999</v>
      </c>
      <c r="S16" s="23">
        <v>40568</v>
      </c>
      <c r="T16"/>
      <c r="U16" s="31"/>
      <c r="V16"/>
    </row>
    <row r="17" spans="1:25" ht="15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7">
        <v>0</v>
      </c>
      <c r="G17" s="27">
        <v>0</v>
      </c>
      <c r="I17"/>
      <c r="J17"/>
      <c r="K17" s="47"/>
      <c r="L17" s="45"/>
      <c r="M17" s="45"/>
      <c r="N17" s="45"/>
      <c r="O17" s="48"/>
      <c r="P17" s="45"/>
      <c r="Q17" s="46"/>
      <c r="R17" s="14">
        <f t="shared" si="3"/>
        <v>23856.959999999999</v>
      </c>
      <c r="S17" s="23">
        <v>40584</v>
      </c>
      <c r="T17"/>
      <c r="U17" s="31"/>
      <c r="V17"/>
    </row>
    <row r="18" spans="1:25" ht="15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7">
        <v>0</v>
      </c>
      <c r="G18" s="27">
        <v>0</v>
      </c>
      <c r="I18"/>
      <c r="J18"/>
      <c r="K18" s="45"/>
      <c r="L18" s="45"/>
      <c r="M18" s="45"/>
      <c r="N18" s="45"/>
      <c r="R18" s="14">
        <f t="shared" si="3"/>
        <v>23856.959999999999</v>
      </c>
      <c r="S18" s="23">
        <v>40599</v>
      </c>
      <c r="T18"/>
      <c r="U18" s="31"/>
      <c r="V18"/>
      <c r="X18" s="31"/>
      <c r="Y18" s="31"/>
    </row>
    <row r="19" spans="1:25" ht="15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7">
        <v>0</v>
      </c>
      <c r="G19" s="27">
        <v>0</v>
      </c>
      <c r="I19"/>
      <c r="J19"/>
      <c r="K19" s="49"/>
      <c r="L19"/>
      <c r="M19"/>
      <c r="N19"/>
      <c r="R19" s="14">
        <f t="shared" si="3"/>
        <v>23856.959999999999</v>
      </c>
      <c r="S19" s="23">
        <v>40612</v>
      </c>
      <c r="T19"/>
      <c r="U19"/>
      <c r="V19"/>
    </row>
    <row r="20" spans="1:25" ht="15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7">
        <v>0</v>
      </c>
      <c r="G20" s="27">
        <v>0</v>
      </c>
      <c r="H20" s="50"/>
      <c r="I20" s="45"/>
      <c r="J20" s="45"/>
      <c r="K20"/>
      <c r="L20"/>
      <c r="M20"/>
      <c r="N20"/>
      <c r="R20" s="14">
        <f t="shared" si="3"/>
        <v>23856.959999999999</v>
      </c>
      <c r="S20" s="23">
        <v>40627</v>
      </c>
      <c r="T20"/>
      <c r="U20"/>
      <c r="V20"/>
    </row>
    <row r="21" spans="1:25" ht="15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7">
        <v>0</v>
      </c>
      <c r="G21" s="27">
        <v>0</v>
      </c>
      <c r="H21" s="50"/>
      <c r="I21" s="51"/>
      <c r="J21" s="45"/>
      <c r="K21" s="52" t="s">
        <v>32</v>
      </c>
      <c r="L21"/>
      <c r="M21"/>
      <c r="N21"/>
      <c r="R21" s="14">
        <f t="shared" si="3"/>
        <v>23856.959999999999</v>
      </c>
      <c r="S21" s="23">
        <v>40643</v>
      </c>
      <c r="T21"/>
      <c r="U21"/>
      <c r="V21"/>
      <c r="X21" s="31"/>
    </row>
    <row r="22" spans="1:25" ht="15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7">
        <v>0</v>
      </c>
      <c r="G22" s="27">
        <v>0</v>
      </c>
      <c r="H22" s="53"/>
      <c r="I22" s="53"/>
      <c r="J22" s="53"/>
      <c r="K22" s="52" t="s">
        <v>32</v>
      </c>
      <c r="L22"/>
      <c r="M22"/>
      <c r="N22"/>
      <c r="R22" s="14">
        <f t="shared" si="3"/>
        <v>23856.959999999999</v>
      </c>
      <c r="S22" s="23">
        <v>40658</v>
      </c>
      <c r="T22"/>
      <c r="U22"/>
      <c r="V22"/>
      <c r="X22" s="31"/>
    </row>
    <row r="23" spans="1:25" ht="15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7">
        <v>0</v>
      </c>
      <c r="G23" s="27">
        <v>0</v>
      </c>
      <c r="H23" s="53"/>
      <c r="I23" s="53"/>
      <c r="J23" s="53"/>
      <c r="L23"/>
      <c r="M23"/>
      <c r="N23"/>
      <c r="R23" s="14">
        <f t="shared" si="3"/>
        <v>23856.959999999999</v>
      </c>
      <c r="S23" s="23">
        <v>40673</v>
      </c>
      <c r="T23"/>
      <c r="U23" s="31"/>
      <c r="V23"/>
      <c r="X23" s="31"/>
    </row>
    <row r="24" spans="1:25" ht="15">
      <c r="A24" s="23">
        <v>40096</v>
      </c>
      <c r="B24" s="125">
        <v>62553.66</v>
      </c>
      <c r="C24" s="125">
        <v>4691.51</v>
      </c>
      <c r="D24" s="125">
        <v>1534.86</v>
      </c>
      <c r="E24" s="26">
        <f>1563.82+4691.51</f>
        <v>6255.33</v>
      </c>
      <c r="F24" s="125">
        <v>9559.1</v>
      </c>
      <c r="G24" s="143">
        <v>0</v>
      </c>
      <c r="H24" s="53"/>
      <c r="I24" s="53"/>
      <c r="J24" s="53"/>
      <c r="K24" s="207"/>
      <c r="L24" s="207"/>
      <c r="M24" s="207"/>
      <c r="N24"/>
      <c r="R24" s="14">
        <f t="shared" si="3"/>
        <v>23856.959999999999</v>
      </c>
      <c r="S24" s="23">
        <v>40688</v>
      </c>
      <c r="T24"/>
      <c r="U24" s="31"/>
      <c r="V24"/>
      <c r="X24" s="31"/>
    </row>
    <row r="25" spans="1:25" ht="15">
      <c r="A25" s="23">
        <v>40111</v>
      </c>
      <c r="B25" s="98">
        <f>I5</f>
        <v>4633.6000000000004</v>
      </c>
      <c r="C25" s="25">
        <f t="shared" si="0"/>
        <v>347.52000000000004</v>
      </c>
      <c r="D25" s="25">
        <f>115.84+28.98</f>
        <v>144.82</v>
      </c>
      <c r="E25" s="26">
        <f t="shared" ref="E25:E30" si="4">C25+D25</f>
        <v>492.34000000000003</v>
      </c>
      <c r="F25" s="27">
        <v>955.91</v>
      </c>
      <c r="G25" s="27">
        <v>0</v>
      </c>
      <c r="H25" s="54"/>
      <c r="I25" s="55"/>
      <c r="J25" s="54"/>
      <c r="K25" s="207"/>
      <c r="L25" s="207"/>
      <c r="M25" s="207"/>
      <c r="N25"/>
      <c r="R25" s="14">
        <f t="shared" si="3"/>
        <v>23856.959999999999</v>
      </c>
      <c r="S25" s="23">
        <v>40704</v>
      </c>
      <c r="T25"/>
      <c r="U25" s="31"/>
      <c r="V25"/>
    </row>
    <row r="26" spans="1:25" ht="15">
      <c r="A26" s="23">
        <v>40127</v>
      </c>
      <c r="B26" s="98">
        <f>I5</f>
        <v>4633.6000000000004</v>
      </c>
      <c r="C26" s="25">
        <f t="shared" si="0"/>
        <v>347.52000000000004</v>
      </c>
      <c r="D26" s="25">
        <f t="shared" si="1"/>
        <v>115.84000000000002</v>
      </c>
      <c r="E26" s="26">
        <f t="shared" si="4"/>
        <v>463.36000000000007</v>
      </c>
      <c r="F26" s="27">
        <v>955.91</v>
      </c>
      <c r="G26" s="27">
        <v>0</v>
      </c>
      <c r="H26" s="50"/>
      <c r="I26" s="45"/>
      <c r="J26" s="45"/>
      <c r="K26"/>
      <c r="L26"/>
      <c r="M26"/>
      <c r="N26"/>
      <c r="R26" s="14">
        <f t="shared" si="3"/>
        <v>23856.959999999999</v>
      </c>
      <c r="S26" s="23">
        <v>40719</v>
      </c>
      <c r="T26"/>
      <c r="U26" s="31"/>
      <c r="V26"/>
    </row>
    <row r="27" spans="1:25" ht="15" customHeight="1">
      <c r="A27" s="23">
        <v>40142</v>
      </c>
      <c r="B27" s="98">
        <f>I5</f>
        <v>4633.6000000000004</v>
      </c>
      <c r="C27" s="25">
        <f t="shared" si="0"/>
        <v>347.52000000000004</v>
      </c>
      <c r="D27" s="25">
        <f t="shared" si="1"/>
        <v>115.84000000000002</v>
      </c>
      <c r="E27" s="26">
        <f t="shared" si="4"/>
        <v>463.36000000000007</v>
      </c>
      <c r="F27" s="27">
        <v>955.91</v>
      </c>
      <c r="G27" s="27">
        <v>0</v>
      </c>
      <c r="H27" s="56"/>
      <c r="I27" s="56"/>
      <c r="J27" s="56"/>
      <c r="K27"/>
      <c r="L27"/>
      <c r="M27"/>
      <c r="N27"/>
      <c r="R27" s="14">
        <f t="shared" si="3"/>
        <v>23856.959999999999</v>
      </c>
      <c r="S27" s="23">
        <v>40369</v>
      </c>
      <c r="T27"/>
      <c r="U27" s="31"/>
      <c r="V27"/>
    </row>
    <row r="28" spans="1:25" ht="15">
      <c r="A28" s="23">
        <v>40157</v>
      </c>
      <c r="B28" s="98">
        <f>I5</f>
        <v>4633.6000000000004</v>
      </c>
      <c r="C28" s="25">
        <f t="shared" si="0"/>
        <v>347.52000000000004</v>
      </c>
      <c r="D28" s="25">
        <f t="shared" si="1"/>
        <v>115.84000000000002</v>
      </c>
      <c r="E28" s="26">
        <f t="shared" si="4"/>
        <v>463.36000000000007</v>
      </c>
      <c r="F28" s="27">
        <v>955.91</v>
      </c>
      <c r="G28" s="27">
        <v>0</v>
      </c>
      <c r="H28" s="56"/>
      <c r="I28" s="56"/>
      <c r="J28" s="56"/>
      <c r="K28" s="45"/>
      <c r="L28" s="45"/>
      <c r="M28" s="45"/>
      <c r="N28" s="45"/>
      <c r="O28" s="48"/>
      <c r="P28" s="45"/>
      <c r="Q28" s="46"/>
      <c r="R28" s="14">
        <f t="shared" si="3"/>
        <v>23856.959999999999</v>
      </c>
      <c r="S28" s="23">
        <v>40384</v>
      </c>
      <c r="T28"/>
      <c r="U28" s="89"/>
      <c r="V28"/>
    </row>
    <row r="29" spans="1:25" ht="15.75" thickBot="1">
      <c r="A29" s="23">
        <v>39441</v>
      </c>
      <c r="B29" s="98">
        <f>I5</f>
        <v>4633.6000000000004</v>
      </c>
      <c r="C29" s="25">
        <f t="shared" si="0"/>
        <v>347.52000000000004</v>
      </c>
      <c r="D29" s="126">
        <f t="shared" si="1"/>
        <v>115.84000000000002</v>
      </c>
      <c r="E29" s="97">
        <f t="shared" si="4"/>
        <v>463.36000000000007</v>
      </c>
      <c r="F29" s="27">
        <v>955.91</v>
      </c>
      <c r="G29" s="27">
        <v>0</v>
      </c>
      <c r="H29" s="56"/>
      <c r="I29" s="56"/>
      <c r="J29" s="56"/>
      <c r="K29" s="57"/>
      <c r="L29" s="57"/>
      <c r="M29" s="57"/>
      <c r="N29" s="57"/>
      <c r="R29" s="14">
        <f t="shared" si="3"/>
        <v>23856.959999999999</v>
      </c>
      <c r="S29" s="23">
        <v>40400</v>
      </c>
      <c r="T29"/>
      <c r="U29" s="89" t="s">
        <v>32</v>
      </c>
      <c r="V29"/>
    </row>
    <row r="30" spans="1:25" ht="15">
      <c r="A30" s="58" t="s">
        <v>33</v>
      </c>
      <c r="B30" s="59">
        <f t="shared" ref="B30:G30" si="5">SUM(B6:B29)</f>
        <v>85721.660000000033</v>
      </c>
      <c r="C30" s="59">
        <f t="shared" si="5"/>
        <v>6429.1100000000024</v>
      </c>
      <c r="D30" s="94">
        <f t="shared" si="5"/>
        <v>2143.0399999999995</v>
      </c>
      <c r="E30" s="94">
        <f t="shared" si="4"/>
        <v>8572.1500000000015</v>
      </c>
      <c r="F30" s="59">
        <f t="shared" si="5"/>
        <v>14338.65</v>
      </c>
      <c r="G30" s="59">
        <f t="shared" si="5"/>
        <v>0</v>
      </c>
      <c r="H30" s="61"/>
      <c r="I30" s="62"/>
      <c r="J30" s="61"/>
      <c r="K30" s="57"/>
      <c r="L30" s="57"/>
      <c r="M30" s="57"/>
      <c r="N30" s="57"/>
      <c r="R30" s="14">
        <f t="shared" si="3"/>
        <v>23856.959999999999</v>
      </c>
      <c r="S30" s="23">
        <v>40415</v>
      </c>
      <c r="T30"/>
      <c r="U30" s="89" t="s">
        <v>32</v>
      </c>
      <c r="V30"/>
    </row>
    <row r="31" spans="1:25" ht="15.75" thickBot="1">
      <c r="A31" s="63" t="s">
        <v>41</v>
      </c>
      <c r="B31" s="64"/>
      <c r="C31" s="64"/>
      <c r="D31" s="64"/>
      <c r="E31" s="64">
        <f>SUM(E6:E29)</f>
        <v>8601.1099999999988</v>
      </c>
      <c r="F31" s="65">
        <v>0</v>
      </c>
      <c r="G31" s="65">
        <v>0</v>
      </c>
      <c r="H31" s="66"/>
      <c r="I31" s="67"/>
      <c r="J31" s="66"/>
      <c r="K31" s="57"/>
      <c r="L31" s="57"/>
      <c r="M31" s="57"/>
      <c r="N31" s="57"/>
      <c r="R31" s="14">
        <f t="shared" si="3"/>
        <v>23856.959999999999</v>
      </c>
      <c r="S31" s="23">
        <v>40066</v>
      </c>
      <c r="T31"/>
      <c r="U31" s="89" t="s">
        <v>32</v>
      </c>
      <c r="V31"/>
    </row>
    <row r="32" spans="1:25" ht="15">
      <c r="A32"/>
      <c r="E32" s="31"/>
      <c r="F32" s="45"/>
      <c r="G32" s="45"/>
      <c r="H32" s="57"/>
      <c r="I32" s="57"/>
      <c r="J32" s="57"/>
      <c r="K32" s="57"/>
      <c r="L32" s="57"/>
      <c r="M32" s="57"/>
      <c r="N32" s="57"/>
      <c r="R32" s="14">
        <f t="shared" si="3"/>
        <v>23856.959999999999</v>
      </c>
      <c r="S32" s="23">
        <v>40081</v>
      </c>
      <c r="T32"/>
      <c r="U32" s="89" t="s">
        <v>32</v>
      </c>
      <c r="V32"/>
    </row>
    <row r="33" spans="1:22" ht="15">
      <c r="A33"/>
      <c r="B33" s="31">
        <f>B30*0.075</f>
        <v>6429.1245000000026</v>
      </c>
      <c r="D33" s="31">
        <f>B30*0.025</f>
        <v>2143.0415000000007</v>
      </c>
      <c r="E33" s="136"/>
      <c r="G33" s="36"/>
      <c r="H33" s="57"/>
      <c r="I33" s="57"/>
      <c r="J33" s="57"/>
      <c r="K33" s="57"/>
      <c r="L33" s="57"/>
      <c r="M33" s="57"/>
      <c r="N33" s="57"/>
      <c r="R33" s="14">
        <f t="shared" si="3"/>
        <v>14297.859999999999</v>
      </c>
      <c r="S33" s="23">
        <v>40096</v>
      </c>
      <c r="T33"/>
      <c r="U33"/>
      <c r="V33"/>
    </row>
    <row r="34" spans="1:22" ht="15">
      <c r="A34"/>
      <c r="B34" s="31">
        <f>B33-C30</f>
        <v>1.4500000000225555E-2</v>
      </c>
      <c r="C34" s="5" t="s">
        <v>119</v>
      </c>
      <c r="D34" s="31">
        <f>D33-D30</f>
        <v>1.5000000012150849E-3</v>
      </c>
      <c r="E34" s="31" t="s">
        <v>120</v>
      </c>
      <c r="F34" s="36"/>
      <c r="G34" s="69"/>
      <c r="H34" s="57"/>
      <c r="I34" s="57"/>
      <c r="J34" s="57"/>
      <c r="K34" s="57"/>
      <c r="L34" s="57"/>
      <c r="M34" s="57"/>
      <c r="N34" s="57"/>
      <c r="R34" s="14">
        <f t="shared" si="3"/>
        <v>13341.949999999999</v>
      </c>
      <c r="S34" s="23">
        <v>40111</v>
      </c>
      <c r="T34"/>
      <c r="U34"/>
      <c r="V34"/>
    </row>
    <row r="35" spans="1:22" ht="15">
      <c r="A35"/>
      <c r="C35" s="31"/>
      <c r="D35" s="31"/>
      <c r="F35" s="36"/>
      <c r="H35" s="57"/>
      <c r="I35" s="57"/>
      <c r="J35" s="57"/>
      <c r="K35" s="57"/>
      <c r="L35" s="57"/>
      <c r="M35" s="57"/>
      <c r="N35" s="57"/>
      <c r="R35" s="14">
        <f t="shared" si="3"/>
        <v>12386.039999999999</v>
      </c>
      <c r="S35" s="23">
        <v>40127</v>
      </c>
      <c r="T35"/>
      <c r="U35"/>
      <c r="V35"/>
    </row>
    <row r="36" spans="1:22" ht="15">
      <c r="A36"/>
      <c r="C36" s="31"/>
      <c r="D36" s="31"/>
      <c r="F36" s="36"/>
      <c r="H36" s="70"/>
      <c r="I36" s="57"/>
      <c r="J36" s="57"/>
      <c r="K36" s="57"/>
      <c r="L36" s="57"/>
      <c r="M36" s="57"/>
      <c r="N36" s="57"/>
      <c r="R36" s="14">
        <f t="shared" si="3"/>
        <v>11430.13</v>
      </c>
      <c r="S36" s="23">
        <v>40142</v>
      </c>
      <c r="U36"/>
      <c r="V36"/>
    </row>
    <row r="37" spans="1:22" ht="15">
      <c r="A37"/>
      <c r="C37" s="31"/>
      <c r="D37" s="31"/>
      <c r="H37" s="57"/>
      <c r="I37" s="57"/>
      <c r="J37" s="57"/>
      <c r="K37" s="57"/>
      <c r="L37" s="57"/>
      <c r="M37" s="57"/>
      <c r="N37" s="57"/>
      <c r="R37" s="14">
        <f t="shared" si="3"/>
        <v>10474.219999999999</v>
      </c>
      <c r="S37" s="23">
        <v>40157</v>
      </c>
      <c r="U37"/>
      <c r="V37"/>
    </row>
    <row r="38" spans="1:22" ht="15.75" thickBot="1">
      <c r="A38"/>
      <c r="C38" s="31"/>
      <c r="D38" s="31"/>
      <c r="H38" s="57"/>
      <c r="I38" s="57"/>
      <c r="J38" s="57"/>
      <c r="K38" s="57"/>
      <c r="L38" s="57"/>
      <c r="M38" s="57"/>
      <c r="N38" s="57"/>
      <c r="O38" s="5" t="s">
        <v>42</v>
      </c>
      <c r="R38" s="142">
        <f t="shared" si="3"/>
        <v>9518.31</v>
      </c>
      <c r="S38" s="71">
        <v>39441</v>
      </c>
      <c r="U38"/>
      <c r="V38"/>
    </row>
    <row r="39" spans="1:22">
      <c r="H39" s="57"/>
      <c r="I39" s="57"/>
      <c r="J39" s="57"/>
      <c r="K39" s="57"/>
      <c r="L39" s="57"/>
      <c r="M39" s="57"/>
      <c r="N39" s="57"/>
    </row>
    <row r="40" spans="1:22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22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1:22">
      <c r="B42" s="72"/>
      <c r="C42" s="57"/>
      <c r="D42" s="57"/>
      <c r="E42" s="57"/>
      <c r="F42" s="57"/>
      <c r="G42" s="57"/>
      <c r="H42" s="57"/>
      <c r="I42" s="57"/>
      <c r="J42" s="57"/>
      <c r="O42" s="57"/>
      <c r="P42" s="57"/>
      <c r="Q42" s="57"/>
    </row>
    <row r="43" spans="1:22">
      <c r="B43" s="72"/>
      <c r="C43" s="57"/>
      <c r="D43" s="57"/>
      <c r="E43" s="57"/>
      <c r="F43" s="57"/>
      <c r="G43" s="57"/>
      <c r="H43" s="57"/>
      <c r="O43" s="57"/>
      <c r="P43" s="57"/>
      <c r="Q43" s="57"/>
    </row>
    <row r="44" spans="1:22">
      <c r="B44" s="72"/>
      <c r="C44" s="57"/>
      <c r="D44" s="57"/>
      <c r="E44" s="57"/>
      <c r="F44" s="57"/>
      <c r="G44" s="57"/>
      <c r="H44" s="57"/>
    </row>
    <row r="45" spans="1:22">
      <c r="B45" s="72"/>
      <c r="C45" s="57"/>
      <c r="D45" s="57"/>
      <c r="E45" s="57"/>
      <c r="F45" s="57"/>
      <c r="G45" s="57"/>
    </row>
    <row r="46" spans="1:22">
      <c r="B46" s="57"/>
      <c r="C46" s="70"/>
      <c r="D46" s="70"/>
      <c r="E46" s="70"/>
      <c r="F46" s="57"/>
      <c r="G46" s="57"/>
    </row>
    <row r="48" spans="1:22">
      <c r="C48" s="31"/>
      <c r="D48" s="31"/>
    </row>
  </sheetData>
  <mergeCells count="9">
    <mergeCell ref="K25:M25"/>
    <mergeCell ref="B1:C1"/>
    <mergeCell ref="L1:M1"/>
    <mergeCell ref="B2:C2"/>
    <mergeCell ref="V2:Y2"/>
    <mergeCell ref="V3:Y3"/>
    <mergeCell ref="K14:M14"/>
    <mergeCell ref="K15:M15"/>
    <mergeCell ref="K24:M24"/>
  </mergeCells>
  <pageMargins left="0.45" right="0.4" top="1" bottom="0.72" header="0.5" footer="0.5"/>
  <pageSetup paperSize="1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38">
    <tabColor rgb="FFFF0000"/>
  </sheetPr>
  <dimension ref="A1:WVS48"/>
  <sheetViews>
    <sheetView topLeftCell="A8" zoomScale="85" zoomScaleNormal="85" workbookViewId="0">
      <selection activeCell="E47" sqref="E47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80</v>
      </c>
      <c r="C1" s="205"/>
      <c r="E1" s="1" t="s">
        <v>1</v>
      </c>
      <c r="F1" s="2">
        <v>9</v>
      </c>
      <c r="G1" s="2"/>
      <c r="H1" s="2"/>
      <c r="I1" s="3" t="s">
        <v>2</v>
      </c>
      <c r="J1" s="4">
        <v>35569</v>
      </c>
    </row>
    <row r="2" spans="1:20" ht="15">
      <c r="A2" s="1" t="s">
        <v>4</v>
      </c>
      <c r="B2" s="206">
        <v>231867549</v>
      </c>
      <c r="C2" s="206"/>
      <c r="D2"/>
      <c r="E2" s="6"/>
      <c r="G2" s="6"/>
      <c r="H2" s="6"/>
      <c r="I2" s="3" t="s">
        <v>5</v>
      </c>
      <c r="J2" s="4">
        <v>20872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99">
        <v>161223.20000000001</v>
      </c>
      <c r="K3" s="49"/>
      <c r="L3" s="14">
        <f>-SUM(C30+D30+E30+F30)</f>
        <v>-39047.882222222208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16">
        <f>J3/F1</f>
        <v>17913.68888888889</v>
      </c>
      <c r="K4" s="49"/>
      <c r="L4" s="19">
        <f>SUM(L2:L3)</f>
        <v>18952.117777777792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99">
        <f>J4/2</f>
        <v>8956.8444444444449</v>
      </c>
      <c r="K5" s="49"/>
      <c r="O5" s="14">
        <f>-D30</f>
        <v>-4880.9844444444443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21119.015555555554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9" si="2">B7*0.075</f>
        <v>0</v>
      </c>
      <c r="F7" s="25">
        <f t="shared" ref="F7:F29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18952.117777777792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25452.117777777792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21119.015555555554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21119.015555555554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21119.015555555554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21119.015555555554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21119.015555555554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21119.015555555554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21119.015555555554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21119.015555555554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21119.015555555554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21119.015555555554</v>
      </c>
      <c r="P23" s="23">
        <v>40673</v>
      </c>
      <c r="R23" s="31"/>
      <c r="U23" s="31"/>
    </row>
    <row r="24" spans="1:22">
      <c r="A24" s="23">
        <v>40096</v>
      </c>
      <c r="B24" s="98">
        <v>150455.09</v>
      </c>
      <c r="C24" s="25">
        <v>11284.14</v>
      </c>
      <c r="D24" s="25">
        <v>3761.36</v>
      </c>
      <c r="E24" s="26">
        <v>11284.14</v>
      </c>
      <c r="F24" s="25">
        <v>3761.36</v>
      </c>
      <c r="G24" s="27">
        <v>20844.04</v>
      </c>
      <c r="H24" s="27">
        <v>0</v>
      </c>
      <c r="I24" s="53"/>
      <c r="J24" s="53"/>
      <c r="K24" s="53"/>
      <c r="O24" s="14">
        <f t="shared" si="4"/>
        <v>21119.015555555554</v>
      </c>
      <c r="P24" s="23">
        <v>40688</v>
      </c>
      <c r="R24" s="31"/>
      <c r="U24" s="31"/>
    </row>
    <row r="25" spans="1:22">
      <c r="A25" s="23">
        <v>40111</v>
      </c>
      <c r="B25" s="98">
        <f>J5</f>
        <v>8956.8444444444449</v>
      </c>
      <c r="C25" s="25">
        <f t="shared" si="0"/>
        <v>671.76333333333332</v>
      </c>
      <c r="D25" s="25">
        <f t="shared" si="1"/>
        <v>223.92111111111114</v>
      </c>
      <c r="E25" s="26">
        <f t="shared" si="2"/>
        <v>671.76333333333332</v>
      </c>
      <c r="F25" s="25">
        <f t="shared" si="3"/>
        <v>223.92111111111114</v>
      </c>
      <c r="G25" s="27">
        <v>1170.68</v>
      </c>
      <c r="H25" s="27">
        <v>0</v>
      </c>
      <c r="I25" s="54"/>
      <c r="J25" s="55"/>
      <c r="K25" s="54"/>
      <c r="O25" s="14">
        <f t="shared" si="4"/>
        <v>21119.015555555554</v>
      </c>
      <c r="P25" s="23">
        <v>40704</v>
      </c>
      <c r="R25" s="31"/>
    </row>
    <row r="26" spans="1:22">
      <c r="A26" s="23">
        <v>40127</v>
      </c>
      <c r="B26" s="98">
        <f>J5</f>
        <v>8956.8444444444449</v>
      </c>
      <c r="C26" s="25">
        <f t="shared" si="0"/>
        <v>671.76333333333332</v>
      </c>
      <c r="D26" s="153">
        <v>0</v>
      </c>
      <c r="E26" s="26">
        <f t="shared" si="2"/>
        <v>671.76333333333332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4"/>
        <v>21119.015555555554</v>
      </c>
      <c r="P26" s="23">
        <v>40719</v>
      </c>
      <c r="R26" s="31"/>
    </row>
    <row r="27" spans="1:22" ht="15" customHeight="1">
      <c r="A27" s="23">
        <v>40142</v>
      </c>
      <c r="B27" s="98">
        <f>J5</f>
        <v>8956.8444444444449</v>
      </c>
      <c r="C27" s="25">
        <f t="shared" si="0"/>
        <v>671.76333333333332</v>
      </c>
      <c r="D27" s="25">
        <f t="shared" si="1"/>
        <v>223.92111111111114</v>
      </c>
      <c r="E27" s="26">
        <f t="shared" si="2"/>
        <v>671.76333333333332</v>
      </c>
      <c r="F27" s="25">
        <f t="shared" si="3"/>
        <v>223.92111111111114</v>
      </c>
      <c r="G27" s="134">
        <v>-895.7</v>
      </c>
      <c r="H27" s="27">
        <v>0</v>
      </c>
      <c r="I27" s="56"/>
      <c r="J27" s="56"/>
      <c r="K27" s="56"/>
      <c r="O27" s="14">
        <f t="shared" si="4"/>
        <v>21119.015555555554</v>
      </c>
      <c r="P27" s="23">
        <v>40369</v>
      </c>
      <c r="R27" s="31"/>
    </row>
    <row r="28" spans="1:22">
      <c r="A28" s="23">
        <v>40157</v>
      </c>
      <c r="B28" s="98">
        <f>J5</f>
        <v>8956.8444444444449</v>
      </c>
      <c r="C28" s="25">
        <f t="shared" si="0"/>
        <v>671.76333333333332</v>
      </c>
      <c r="D28" s="135">
        <f>(B28*0.025)+223.94</f>
        <v>447.86111111111114</v>
      </c>
      <c r="E28" s="26">
        <f t="shared" si="2"/>
        <v>671.76333333333332</v>
      </c>
      <c r="F28" s="139">
        <f>(B28*0.025)+223.94</f>
        <v>447.86111111111114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21119.015555555554</v>
      </c>
      <c r="P28" s="23">
        <v>40384</v>
      </c>
      <c r="R28" s="89"/>
    </row>
    <row r="29" spans="1:22" ht="13.5" thickBot="1">
      <c r="A29" s="23">
        <v>39441</v>
      </c>
      <c r="B29" s="98">
        <f>J5</f>
        <v>8956.8444444444449</v>
      </c>
      <c r="C29" s="25">
        <f t="shared" si="0"/>
        <v>671.76333333333332</v>
      </c>
      <c r="D29" s="126">
        <f t="shared" si="1"/>
        <v>223.92111111111114</v>
      </c>
      <c r="E29" s="97">
        <f t="shared" si="2"/>
        <v>671.76333333333332</v>
      </c>
      <c r="F29" s="97">
        <f t="shared" si="3"/>
        <v>223.92111111111114</v>
      </c>
      <c r="G29" s="27">
        <v>0</v>
      </c>
      <c r="H29" s="27">
        <v>0</v>
      </c>
      <c r="I29" s="56"/>
      <c r="J29" s="56"/>
      <c r="K29" s="56"/>
      <c r="O29" s="14">
        <f t="shared" si="4"/>
        <v>21119.015555555554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195239.31222222216</v>
      </c>
      <c r="C30" s="59">
        <f t="shared" si="5"/>
        <v>14642.956666666661</v>
      </c>
      <c r="D30" s="94">
        <f t="shared" si="5"/>
        <v>4880.9844444444443</v>
      </c>
      <c r="E30" s="94">
        <f t="shared" si="5"/>
        <v>14642.956666666661</v>
      </c>
      <c r="F30" s="94">
        <f t="shared" si="5"/>
        <v>4880.9844444444443</v>
      </c>
      <c r="G30" s="59">
        <f t="shared" si="5"/>
        <v>21119.02</v>
      </c>
      <c r="H30" s="59">
        <f t="shared" si="5"/>
        <v>0</v>
      </c>
      <c r="I30" s="44"/>
      <c r="J30" s="132"/>
      <c r="K30" s="44"/>
      <c r="O30" s="14">
        <f t="shared" si="4"/>
        <v>21119.015555555554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14642.948416666661</v>
      </c>
      <c r="D31" s="160">
        <f>B30*0.025</f>
        <v>4880.9828055555545</v>
      </c>
      <c r="E31" s="64">
        <f>C31</f>
        <v>14642.948416666661</v>
      </c>
      <c r="F31" s="64">
        <f>D31</f>
        <v>4880.9828055555545</v>
      </c>
      <c r="G31" s="65"/>
      <c r="H31" s="65"/>
      <c r="I31" s="44"/>
      <c r="J31" s="132"/>
      <c r="K31" s="44"/>
      <c r="O31" s="14">
        <f t="shared" si="4"/>
        <v>21119.015555555554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8.2500000007712515E-3</v>
      </c>
      <c r="D32" s="31">
        <f>D30-D31</f>
        <v>1.6388888898291043E-3</v>
      </c>
      <c r="E32" s="31">
        <f>E30-E31</f>
        <v>8.2500000007712515E-3</v>
      </c>
      <c r="F32" s="31">
        <f>F30-F31</f>
        <v>1.6388888898291043E-3</v>
      </c>
      <c r="G32" s="45"/>
      <c r="H32" s="45"/>
      <c r="I32" s="57"/>
      <c r="J32" s="57"/>
      <c r="K32" s="57"/>
      <c r="O32" s="14">
        <f t="shared" si="4"/>
        <v>21119.015555555554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274.975555555553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-895.70444444444706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-895.70444444444706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-4.4444444470173039E-3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-4.4444444470173039E-3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-4.4444444470173039E-3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365">
    <tabColor rgb="FFFF0000"/>
  </sheetPr>
  <dimension ref="A1:WVV48"/>
  <sheetViews>
    <sheetView zoomScale="85" zoomScaleNormal="85" workbookViewId="0">
      <selection activeCell="B6" sqref="B6:G29"/>
    </sheetView>
  </sheetViews>
  <sheetFormatPr defaultRowHeight="12.75"/>
  <cols>
    <col min="1" max="1" width="10.42578125" style="5" bestFit="1" customWidth="1"/>
    <col min="2" max="2" width="13.42578125" style="5" customWidth="1"/>
    <col min="3" max="4" width="12.42578125" style="5" customWidth="1"/>
    <col min="5" max="5" width="12.5703125" style="5" customWidth="1"/>
    <col min="6" max="8" width="13" style="5" customWidth="1"/>
    <col min="9" max="9" width="20.7109375" style="5" customWidth="1"/>
    <col min="10" max="10" width="14.7109375" style="5" customWidth="1"/>
    <col min="11" max="11" width="12.7109375" style="5" hidden="1" customWidth="1"/>
    <col min="12" max="13" width="17.7109375" style="5" hidden="1" customWidth="1"/>
    <col min="14" max="14" width="9.28515625" style="5" hidden="1" customWidth="1"/>
    <col min="15" max="18" width="11.28515625" style="5" customWidth="1"/>
    <col min="19" max="19" width="19.7109375" style="5" customWidth="1"/>
    <col min="20" max="258" width="9.140625" style="5"/>
    <col min="259" max="259" width="10.42578125" style="5" bestFit="1" customWidth="1"/>
    <col min="260" max="260" width="13.42578125" style="5" customWidth="1"/>
    <col min="261" max="261" width="12.42578125" style="5" customWidth="1"/>
    <col min="262" max="262" width="12.5703125" style="5" customWidth="1"/>
    <col min="263" max="265" width="13" style="5" customWidth="1"/>
    <col min="266" max="266" width="14.7109375" style="5" customWidth="1"/>
    <col min="267" max="270" width="9.28515625" style="5" hidden="1" customWidth="1"/>
    <col min="271" max="274" width="11.28515625" style="5" customWidth="1"/>
    <col min="275" max="275" width="19.7109375" style="5" customWidth="1"/>
    <col min="276" max="514" width="9.140625" style="5"/>
    <col min="515" max="515" width="10.42578125" style="5" bestFit="1" customWidth="1"/>
    <col min="516" max="516" width="13.42578125" style="5" customWidth="1"/>
    <col min="517" max="517" width="12.42578125" style="5" customWidth="1"/>
    <col min="518" max="518" width="12.5703125" style="5" customWidth="1"/>
    <col min="519" max="521" width="13" style="5" customWidth="1"/>
    <col min="522" max="522" width="14.7109375" style="5" customWidth="1"/>
    <col min="523" max="526" width="9.28515625" style="5" hidden="1" customWidth="1"/>
    <col min="527" max="530" width="11.28515625" style="5" customWidth="1"/>
    <col min="531" max="531" width="19.7109375" style="5" customWidth="1"/>
    <col min="532" max="770" width="9.140625" style="5"/>
    <col min="771" max="771" width="10.42578125" style="5" bestFit="1" customWidth="1"/>
    <col min="772" max="772" width="13.42578125" style="5" customWidth="1"/>
    <col min="773" max="773" width="12.42578125" style="5" customWidth="1"/>
    <col min="774" max="774" width="12.5703125" style="5" customWidth="1"/>
    <col min="775" max="777" width="13" style="5" customWidth="1"/>
    <col min="778" max="778" width="14.7109375" style="5" customWidth="1"/>
    <col min="779" max="782" width="9.28515625" style="5" hidden="1" customWidth="1"/>
    <col min="783" max="786" width="11.28515625" style="5" customWidth="1"/>
    <col min="787" max="787" width="19.7109375" style="5" customWidth="1"/>
    <col min="788" max="1026" width="9.140625" style="5"/>
    <col min="1027" max="1027" width="10.42578125" style="5" bestFit="1" customWidth="1"/>
    <col min="1028" max="1028" width="13.42578125" style="5" customWidth="1"/>
    <col min="1029" max="1029" width="12.42578125" style="5" customWidth="1"/>
    <col min="1030" max="1030" width="12.5703125" style="5" customWidth="1"/>
    <col min="1031" max="1033" width="13" style="5" customWidth="1"/>
    <col min="1034" max="1034" width="14.7109375" style="5" customWidth="1"/>
    <col min="1035" max="1038" width="9.28515625" style="5" hidden="1" customWidth="1"/>
    <col min="1039" max="1042" width="11.28515625" style="5" customWidth="1"/>
    <col min="1043" max="1043" width="19.7109375" style="5" customWidth="1"/>
    <col min="1044" max="1282" width="9.140625" style="5"/>
    <col min="1283" max="1283" width="10.42578125" style="5" bestFit="1" customWidth="1"/>
    <col min="1284" max="1284" width="13.42578125" style="5" customWidth="1"/>
    <col min="1285" max="1285" width="12.42578125" style="5" customWidth="1"/>
    <col min="1286" max="1286" width="12.5703125" style="5" customWidth="1"/>
    <col min="1287" max="1289" width="13" style="5" customWidth="1"/>
    <col min="1290" max="1290" width="14.7109375" style="5" customWidth="1"/>
    <col min="1291" max="1294" width="9.28515625" style="5" hidden="1" customWidth="1"/>
    <col min="1295" max="1298" width="11.28515625" style="5" customWidth="1"/>
    <col min="1299" max="1299" width="19.7109375" style="5" customWidth="1"/>
    <col min="1300" max="1538" width="9.140625" style="5"/>
    <col min="1539" max="1539" width="10.42578125" style="5" bestFit="1" customWidth="1"/>
    <col min="1540" max="1540" width="13.42578125" style="5" customWidth="1"/>
    <col min="1541" max="1541" width="12.42578125" style="5" customWidth="1"/>
    <col min="1542" max="1542" width="12.5703125" style="5" customWidth="1"/>
    <col min="1543" max="1545" width="13" style="5" customWidth="1"/>
    <col min="1546" max="1546" width="14.7109375" style="5" customWidth="1"/>
    <col min="1547" max="1550" width="9.28515625" style="5" hidden="1" customWidth="1"/>
    <col min="1551" max="1554" width="11.28515625" style="5" customWidth="1"/>
    <col min="1555" max="1555" width="19.7109375" style="5" customWidth="1"/>
    <col min="1556" max="1794" width="9.140625" style="5"/>
    <col min="1795" max="1795" width="10.42578125" style="5" bestFit="1" customWidth="1"/>
    <col min="1796" max="1796" width="13.42578125" style="5" customWidth="1"/>
    <col min="1797" max="1797" width="12.42578125" style="5" customWidth="1"/>
    <col min="1798" max="1798" width="12.5703125" style="5" customWidth="1"/>
    <col min="1799" max="1801" width="13" style="5" customWidth="1"/>
    <col min="1802" max="1802" width="14.7109375" style="5" customWidth="1"/>
    <col min="1803" max="1806" width="9.28515625" style="5" hidden="1" customWidth="1"/>
    <col min="1807" max="1810" width="11.28515625" style="5" customWidth="1"/>
    <col min="1811" max="1811" width="19.7109375" style="5" customWidth="1"/>
    <col min="1812" max="2050" width="9.140625" style="5"/>
    <col min="2051" max="2051" width="10.42578125" style="5" bestFit="1" customWidth="1"/>
    <col min="2052" max="2052" width="13.42578125" style="5" customWidth="1"/>
    <col min="2053" max="2053" width="12.42578125" style="5" customWidth="1"/>
    <col min="2054" max="2054" width="12.5703125" style="5" customWidth="1"/>
    <col min="2055" max="2057" width="13" style="5" customWidth="1"/>
    <col min="2058" max="2058" width="14.7109375" style="5" customWidth="1"/>
    <col min="2059" max="2062" width="9.28515625" style="5" hidden="1" customWidth="1"/>
    <col min="2063" max="2066" width="11.28515625" style="5" customWidth="1"/>
    <col min="2067" max="2067" width="19.7109375" style="5" customWidth="1"/>
    <col min="2068" max="2306" width="9.140625" style="5"/>
    <col min="2307" max="2307" width="10.42578125" style="5" bestFit="1" customWidth="1"/>
    <col min="2308" max="2308" width="13.42578125" style="5" customWidth="1"/>
    <col min="2309" max="2309" width="12.42578125" style="5" customWidth="1"/>
    <col min="2310" max="2310" width="12.5703125" style="5" customWidth="1"/>
    <col min="2311" max="2313" width="13" style="5" customWidth="1"/>
    <col min="2314" max="2314" width="14.7109375" style="5" customWidth="1"/>
    <col min="2315" max="2318" width="9.28515625" style="5" hidden="1" customWidth="1"/>
    <col min="2319" max="2322" width="11.28515625" style="5" customWidth="1"/>
    <col min="2323" max="2323" width="19.7109375" style="5" customWidth="1"/>
    <col min="2324" max="2562" width="9.140625" style="5"/>
    <col min="2563" max="2563" width="10.42578125" style="5" bestFit="1" customWidth="1"/>
    <col min="2564" max="2564" width="13.42578125" style="5" customWidth="1"/>
    <col min="2565" max="2565" width="12.42578125" style="5" customWidth="1"/>
    <col min="2566" max="2566" width="12.5703125" style="5" customWidth="1"/>
    <col min="2567" max="2569" width="13" style="5" customWidth="1"/>
    <col min="2570" max="2570" width="14.7109375" style="5" customWidth="1"/>
    <col min="2571" max="2574" width="9.28515625" style="5" hidden="1" customWidth="1"/>
    <col min="2575" max="2578" width="11.28515625" style="5" customWidth="1"/>
    <col min="2579" max="2579" width="19.7109375" style="5" customWidth="1"/>
    <col min="2580" max="2818" width="9.140625" style="5"/>
    <col min="2819" max="2819" width="10.42578125" style="5" bestFit="1" customWidth="1"/>
    <col min="2820" max="2820" width="13.42578125" style="5" customWidth="1"/>
    <col min="2821" max="2821" width="12.42578125" style="5" customWidth="1"/>
    <col min="2822" max="2822" width="12.5703125" style="5" customWidth="1"/>
    <col min="2823" max="2825" width="13" style="5" customWidth="1"/>
    <col min="2826" max="2826" width="14.7109375" style="5" customWidth="1"/>
    <col min="2827" max="2830" width="9.28515625" style="5" hidden="1" customWidth="1"/>
    <col min="2831" max="2834" width="11.28515625" style="5" customWidth="1"/>
    <col min="2835" max="2835" width="19.7109375" style="5" customWidth="1"/>
    <col min="2836" max="3074" width="9.140625" style="5"/>
    <col min="3075" max="3075" width="10.42578125" style="5" bestFit="1" customWidth="1"/>
    <col min="3076" max="3076" width="13.42578125" style="5" customWidth="1"/>
    <col min="3077" max="3077" width="12.42578125" style="5" customWidth="1"/>
    <col min="3078" max="3078" width="12.5703125" style="5" customWidth="1"/>
    <col min="3079" max="3081" width="13" style="5" customWidth="1"/>
    <col min="3082" max="3082" width="14.7109375" style="5" customWidth="1"/>
    <col min="3083" max="3086" width="9.28515625" style="5" hidden="1" customWidth="1"/>
    <col min="3087" max="3090" width="11.28515625" style="5" customWidth="1"/>
    <col min="3091" max="3091" width="19.7109375" style="5" customWidth="1"/>
    <col min="3092" max="3330" width="9.140625" style="5"/>
    <col min="3331" max="3331" width="10.42578125" style="5" bestFit="1" customWidth="1"/>
    <col min="3332" max="3332" width="13.42578125" style="5" customWidth="1"/>
    <col min="3333" max="3333" width="12.42578125" style="5" customWidth="1"/>
    <col min="3334" max="3334" width="12.5703125" style="5" customWidth="1"/>
    <col min="3335" max="3337" width="13" style="5" customWidth="1"/>
    <col min="3338" max="3338" width="14.7109375" style="5" customWidth="1"/>
    <col min="3339" max="3342" width="9.28515625" style="5" hidden="1" customWidth="1"/>
    <col min="3343" max="3346" width="11.28515625" style="5" customWidth="1"/>
    <col min="3347" max="3347" width="19.7109375" style="5" customWidth="1"/>
    <col min="3348" max="3586" width="9.140625" style="5"/>
    <col min="3587" max="3587" width="10.42578125" style="5" bestFit="1" customWidth="1"/>
    <col min="3588" max="3588" width="13.42578125" style="5" customWidth="1"/>
    <col min="3589" max="3589" width="12.42578125" style="5" customWidth="1"/>
    <col min="3590" max="3590" width="12.5703125" style="5" customWidth="1"/>
    <col min="3591" max="3593" width="13" style="5" customWidth="1"/>
    <col min="3594" max="3594" width="14.7109375" style="5" customWidth="1"/>
    <col min="3595" max="3598" width="9.28515625" style="5" hidden="1" customWidth="1"/>
    <col min="3599" max="3602" width="11.28515625" style="5" customWidth="1"/>
    <col min="3603" max="3603" width="19.7109375" style="5" customWidth="1"/>
    <col min="3604" max="3842" width="9.140625" style="5"/>
    <col min="3843" max="3843" width="10.42578125" style="5" bestFit="1" customWidth="1"/>
    <col min="3844" max="3844" width="13.42578125" style="5" customWidth="1"/>
    <col min="3845" max="3845" width="12.42578125" style="5" customWidth="1"/>
    <col min="3846" max="3846" width="12.5703125" style="5" customWidth="1"/>
    <col min="3847" max="3849" width="13" style="5" customWidth="1"/>
    <col min="3850" max="3850" width="14.7109375" style="5" customWidth="1"/>
    <col min="3851" max="3854" width="9.28515625" style="5" hidden="1" customWidth="1"/>
    <col min="3855" max="3858" width="11.28515625" style="5" customWidth="1"/>
    <col min="3859" max="3859" width="19.7109375" style="5" customWidth="1"/>
    <col min="3860" max="4098" width="9.140625" style="5"/>
    <col min="4099" max="4099" width="10.42578125" style="5" bestFit="1" customWidth="1"/>
    <col min="4100" max="4100" width="13.42578125" style="5" customWidth="1"/>
    <col min="4101" max="4101" width="12.42578125" style="5" customWidth="1"/>
    <col min="4102" max="4102" width="12.5703125" style="5" customWidth="1"/>
    <col min="4103" max="4105" width="13" style="5" customWidth="1"/>
    <col min="4106" max="4106" width="14.7109375" style="5" customWidth="1"/>
    <col min="4107" max="4110" width="9.28515625" style="5" hidden="1" customWidth="1"/>
    <col min="4111" max="4114" width="11.28515625" style="5" customWidth="1"/>
    <col min="4115" max="4115" width="19.7109375" style="5" customWidth="1"/>
    <col min="4116" max="4354" width="9.140625" style="5"/>
    <col min="4355" max="4355" width="10.42578125" style="5" bestFit="1" customWidth="1"/>
    <col min="4356" max="4356" width="13.42578125" style="5" customWidth="1"/>
    <col min="4357" max="4357" width="12.42578125" style="5" customWidth="1"/>
    <col min="4358" max="4358" width="12.5703125" style="5" customWidth="1"/>
    <col min="4359" max="4361" width="13" style="5" customWidth="1"/>
    <col min="4362" max="4362" width="14.7109375" style="5" customWidth="1"/>
    <col min="4363" max="4366" width="9.28515625" style="5" hidden="1" customWidth="1"/>
    <col min="4367" max="4370" width="11.28515625" style="5" customWidth="1"/>
    <col min="4371" max="4371" width="19.7109375" style="5" customWidth="1"/>
    <col min="4372" max="4610" width="9.140625" style="5"/>
    <col min="4611" max="4611" width="10.42578125" style="5" bestFit="1" customWidth="1"/>
    <col min="4612" max="4612" width="13.42578125" style="5" customWidth="1"/>
    <col min="4613" max="4613" width="12.42578125" style="5" customWidth="1"/>
    <col min="4614" max="4614" width="12.5703125" style="5" customWidth="1"/>
    <col min="4615" max="4617" width="13" style="5" customWidth="1"/>
    <col min="4618" max="4618" width="14.7109375" style="5" customWidth="1"/>
    <col min="4619" max="4622" width="9.28515625" style="5" hidden="1" customWidth="1"/>
    <col min="4623" max="4626" width="11.28515625" style="5" customWidth="1"/>
    <col min="4627" max="4627" width="19.7109375" style="5" customWidth="1"/>
    <col min="4628" max="4866" width="9.140625" style="5"/>
    <col min="4867" max="4867" width="10.42578125" style="5" bestFit="1" customWidth="1"/>
    <col min="4868" max="4868" width="13.42578125" style="5" customWidth="1"/>
    <col min="4869" max="4869" width="12.42578125" style="5" customWidth="1"/>
    <col min="4870" max="4870" width="12.5703125" style="5" customWidth="1"/>
    <col min="4871" max="4873" width="13" style="5" customWidth="1"/>
    <col min="4874" max="4874" width="14.7109375" style="5" customWidth="1"/>
    <col min="4875" max="4878" width="9.28515625" style="5" hidden="1" customWidth="1"/>
    <col min="4879" max="4882" width="11.28515625" style="5" customWidth="1"/>
    <col min="4883" max="4883" width="19.7109375" style="5" customWidth="1"/>
    <col min="4884" max="5122" width="9.140625" style="5"/>
    <col min="5123" max="5123" width="10.42578125" style="5" bestFit="1" customWidth="1"/>
    <col min="5124" max="5124" width="13.42578125" style="5" customWidth="1"/>
    <col min="5125" max="5125" width="12.42578125" style="5" customWidth="1"/>
    <col min="5126" max="5126" width="12.5703125" style="5" customWidth="1"/>
    <col min="5127" max="5129" width="13" style="5" customWidth="1"/>
    <col min="5130" max="5130" width="14.7109375" style="5" customWidth="1"/>
    <col min="5131" max="5134" width="9.28515625" style="5" hidden="1" customWidth="1"/>
    <col min="5135" max="5138" width="11.28515625" style="5" customWidth="1"/>
    <col min="5139" max="5139" width="19.7109375" style="5" customWidth="1"/>
    <col min="5140" max="5378" width="9.140625" style="5"/>
    <col min="5379" max="5379" width="10.42578125" style="5" bestFit="1" customWidth="1"/>
    <col min="5380" max="5380" width="13.42578125" style="5" customWidth="1"/>
    <col min="5381" max="5381" width="12.42578125" style="5" customWidth="1"/>
    <col min="5382" max="5382" width="12.5703125" style="5" customWidth="1"/>
    <col min="5383" max="5385" width="13" style="5" customWidth="1"/>
    <col min="5386" max="5386" width="14.7109375" style="5" customWidth="1"/>
    <col min="5387" max="5390" width="9.28515625" style="5" hidden="1" customWidth="1"/>
    <col min="5391" max="5394" width="11.28515625" style="5" customWidth="1"/>
    <col min="5395" max="5395" width="19.7109375" style="5" customWidth="1"/>
    <col min="5396" max="5634" width="9.140625" style="5"/>
    <col min="5635" max="5635" width="10.42578125" style="5" bestFit="1" customWidth="1"/>
    <col min="5636" max="5636" width="13.42578125" style="5" customWidth="1"/>
    <col min="5637" max="5637" width="12.42578125" style="5" customWidth="1"/>
    <col min="5638" max="5638" width="12.5703125" style="5" customWidth="1"/>
    <col min="5639" max="5641" width="13" style="5" customWidth="1"/>
    <col min="5642" max="5642" width="14.7109375" style="5" customWidth="1"/>
    <col min="5643" max="5646" width="9.28515625" style="5" hidden="1" customWidth="1"/>
    <col min="5647" max="5650" width="11.28515625" style="5" customWidth="1"/>
    <col min="5651" max="5651" width="19.7109375" style="5" customWidth="1"/>
    <col min="5652" max="5890" width="9.140625" style="5"/>
    <col min="5891" max="5891" width="10.42578125" style="5" bestFit="1" customWidth="1"/>
    <col min="5892" max="5892" width="13.42578125" style="5" customWidth="1"/>
    <col min="5893" max="5893" width="12.42578125" style="5" customWidth="1"/>
    <col min="5894" max="5894" width="12.5703125" style="5" customWidth="1"/>
    <col min="5895" max="5897" width="13" style="5" customWidth="1"/>
    <col min="5898" max="5898" width="14.7109375" style="5" customWidth="1"/>
    <col min="5899" max="5902" width="9.28515625" style="5" hidden="1" customWidth="1"/>
    <col min="5903" max="5906" width="11.28515625" style="5" customWidth="1"/>
    <col min="5907" max="5907" width="19.7109375" style="5" customWidth="1"/>
    <col min="5908" max="6146" width="9.140625" style="5"/>
    <col min="6147" max="6147" width="10.42578125" style="5" bestFit="1" customWidth="1"/>
    <col min="6148" max="6148" width="13.42578125" style="5" customWidth="1"/>
    <col min="6149" max="6149" width="12.42578125" style="5" customWidth="1"/>
    <col min="6150" max="6150" width="12.5703125" style="5" customWidth="1"/>
    <col min="6151" max="6153" width="13" style="5" customWidth="1"/>
    <col min="6154" max="6154" width="14.7109375" style="5" customWidth="1"/>
    <col min="6155" max="6158" width="9.28515625" style="5" hidden="1" customWidth="1"/>
    <col min="6159" max="6162" width="11.28515625" style="5" customWidth="1"/>
    <col min="6163" max="6163" width="19.7109375" style="5" customWidth="1"/>
    <col min="6164" max="6402" width="9.140625" style="5"/>
    <col min="6403" max="6403" width="10.42578125" style="5" bestFit="1" customWidth="1"/>
    <col min="6404" max="6404" width="13.42578125" style="5" customWidth="1"/>
    <col min="6405" max="6405" width="12.42578125" style="5" customWidth="1"/>
    <col min="6406" max="6406" width="12.5703125" style="5" customWidth="1"/>
    <col min="6407" max="6409" width="13" style="5" customWidth="1"/>
    <col min="6410" max="6410" width="14.7109375" style="5" customWidth="1"/>
    <col min="6411" max="6414" width="9.28515625" style="5" hidden="1" customWidth="1"/>
    <col min="6415" max="6418" width="11.28515625" style="5" customWidth="1"/>
    <col min="6419" max="6419" width="19.7109375" style="5" customWidth="1"/>
    <col min="6420" max="6658" width="9.140625" style="5"/>
    <col min="6659" max="6659" width="10.42578125" style="5" bestFit="1" customWidth="1"/>
    <col min="6660" max="6660" width="13.42578125" style="5" customWidth="1"/>
    <col min="6661" max="6661" width="12.42578125" style="5" customWidth="1"/>
    <col min="6662" max="6662" width="12.5703125" style="5" customWidth="1"/>
    <col min="6663" max="6665" width="13" style="5" customWidth="1"/>
    <col min="6666" max="6666" width="14.7109375" style="5" customWidth="1"/>
    <col min="6667" max="6670" width="9.28515625" style="5" hidden="1" customWidth="1"/>
    <col min="6671" max="6674" width="11.28515625" style="5" customWidth="1"/>
    <col min="6675" max="6675" width="19.7109375" style="5" customWidth="1"/>
    <col min="6676" max="6914" width="9.140625" style="5"/>
    <col min="6915" max="6915" width="10.42578125" style="5" bestFit="1" customWidth="1"/>
    <col min="6916" max="6916" width="13.42578125" style="5" customWidth="1"/>
    <col min="6917" max="6917" width="12.42578125" style="5" customWidth="1"/>
    <col min="6918" max="6918" width="12.5703125" style="5" customWidth="1"/>
    <col min="6919" max="6921" width="13" style="5" customWidth="1"/>
    <col min="6922" max="6922" width="14.7109375" style="5" customWidth="1"/>
    <col min="6923" max="6926" width="9.28515625" style="5" hidden="1" customWidth="1"/>
    <col min="6927" max="6930" width="11.28515625" style="5" customWidth="1"/>
    <col min="6931" max="6931" width="19.7109375" style="5" customWidth="1"/>
    <col min="6932" max="7170" width="9.140625" style="5"/>
    <col min="7171" max="7171" width="10.42578125" style="5" bestFit="1" customWidth="1"/>
    <col min="7172" max="7172" width="13.42578125" style="5" customWidth="1"/>
    <col min="7173" max="7173" width="12.42578125" style="5" customWidth="1"/>
    <col min="7174" max="7174" width="12.5703125" style="5" customWidth="1"/>
    <col min="7175" max="7177" width="13" style="5" customWidth="1"/>
    <col min="7178" max="7178" width="14.7109375" style="5" customWidth="1"/>
    <col min="7179" max="7182" width="9.28515625" style="5" hidden="1" customWidth="1"/>
    <col min="7183" max="7186" width="11.28515625" style="5" customWidth="1"/>
    <col min="7187" max="7187" width="19.7109375" style="5" customWidth="1"/>
    <col min="7188" max="7426" width="9.140625" style="5"/>
    <col min="7427" max="7427" width="10.42578125" style="5" bestFit="1" customWidth="1"/>
    <col min="7428" max="7428" width="13.42578125" style="5" customWidth="1"/>
    <col min="7429" max="7429" width="12.42578125" style="5" customWidth="1"/>
    <col min="7430" max="7430" width="12.5703125" style="5" customWidth="1"/>
    <col min="7431" max="7433" width="13" style="5" customWidth="1"/>
    <col min="7434" max="7434" width="14.7109375" style="5" customWidth="1"/>
    <col min="7435" max="7438" width="9.28515625" style="5" hidden="1" customWidth="1"/>
    <col min="7439" max="7442" width="11.28515625" style="5" customWidth="1"/>
    <col min="7443" max="7443" width="19.7109375" style="5" customWidth="1"/>
    <col min="7444" max="7682" width="9.140625" style="5"/>
    <col min="7683" max="7683" width="10.42578125" style="5" bestFit="1" customWidth="1"/>
    <col min="7684" max="7684" width="13.42578125" style="5" customWidth="1"/>
    <col min="7685" max="7685" width="12.42578125" style="5" customWidth="1"/>
    <col min="7686" max="7686" width="12.5703125" style="5" customWidth="1"/>
    <col min="7687" max="7689" width="13" style="5" customWidth="1"/>
    <col min="7690" max="7690" width="14.7109375" style="5" customWidth="1"/>
    <col min="7691" max="7694" width="9.28515625" style="5" hidden="1" customWidth="1"/>
    <col min="7695" max="7698" width="11.28515625" style="5" customWidth="1"/>
    <col min="7699" max="7699" width="19.7109375" style="5" customWidth="1"/>
    <col min="7700" max="7938" width="9.140625" style="5"/>
    <col min="7939" max="7939" width="10.42578125" style="5" bestFit="1" customWidth="1"/>
    <col min="7940" max="7940" width="13.42578125" style="5" customWidth="1"/>
    <col min="7941" max="7941" width="12.42578125" style="5" customWidth="1"/>
    <col min="7942" max="7942" width="12.5703125" style="5" customWidth="1"/>
    <col min="7943" max="7945" width="13" style="5" customWidth="1"/>
    <col min="7946" max="7946" width="14.7109375" style="5" customWidth="1"/>
    <col min="7947" max="7950" width="9.28515625" style="5" hidden="1" customWidth="1"/>
    <col min="7951" max="7954" width="11.28515625" style="5" customWidth="1"/>
    <col min="7955" max="7955" width="19.7109375" style="5" customWidth="1"/>
    <col min="7956" max="8194" width="9.140625" style="5"/>
    <col min="8195" max="8195" width="10.42578125" style="5" bestFit="1" customWidth="1"/>
    <col min="8196" max="8196" width="13.42578125" style="5" customWidth="1"/>
    <col min="8197" max="8197" width="12.42578125" style="5" customWidth="1"/>
    <col min="8198" max="8198" width="12.5703125" style="5" customWidth="1"/>
    <col min="8199" max="8201" width="13" style="5" customWidth="1"/>
    <col min="8202" max="8202" width="14.7109375" style="5" customWidth="1"/>
    <col min="8203" max="8206" width="9.28515625" style="5" hidden="1" customWidth="1"/>
    <col min="8207" max="8210" width="11.28515625" style="5" customWidth="1"/>
    <col min="8211" max="8211" width="19.7109375" style="5" customWidth="1"/>
    <col min="8212" max="8450" width="9.140625" style="5"/>
    <col min="8451" max="8451" width="10.42578125" style="5" bestFit="1" customWidth="1"/>
    <col min="8452" max="8452" width="13.42578125" style="5" customWidth="1"/>
    <col min="8453" max="8453" width="12.42578125" style="5" customWidth="1"/>
    <col min="8454" max="8454" width="12.5703125" style="5" customWidth="1"/>
    <col min="8455" max="8457" width="13" style="5" customWidth="1"/>
    <col min="8458" max="8458" width="14.7109375" style="5" customWidth="1"/>
    <col min="8459" max="8462" width="9.28515625" style="5" hidden="1" customWidth="1"/>
    <col min="8463" max="8466" width="11.28515625" style="5" customWidth="1"/>
    <col min="8467" max="8467" width="19.7109375" style="5" customWidth="1"/>
    <col min="8468" max="8706" width="9.140625" style="5"/>
    <col min="8707" max="8707" width="10.42578125" style="5" bestFit="1" customWidth="1"/>
    <col min="8708" max="8708" width="13.42578125" style="5" customWidth="1"/>
    <col min="8709" max="8709" width="12.42578125" style="5" customWidth="1"/>
    <col min="8710" max="8710" width="12.5703125" style="5" customWidth="1"/>
    <col min="8711" max="8713" width="13" style="5" customWidth="1"/>
    <col min="8714" max="8714" width="14.7109375" style="5" customWidth="1"/>
    <col min="8715" max="8718" width="9.28515625" style="5" hidden="1" customWidth="1"/>
    <col min="8719" max="8722" width="11.28515625" style="5" customWidth="1"/>
    <col min="8723" max="8723" width="19.7109375" style="5" customWidth="1"/>
    <col min="8724" max="8962" width="9.140625" style="5"/>
    <col min="8963" max="8963" width="10.42578125" style="5" bestFit="1" customWidth="1"/>
    <col min="8964" max="8964" width="13.42578125" style="5" customWidth="1"/>
    <col min="8965" max="8965" width="12.42578125" style="5" customWidth="1"/>
    <col min="8966" max="8966" width="12.5703125" style="5" customWidth="1"/>
    <col min="8967" max="8969" width="13" style="5" customWidth="1"/>
    <col min="8970" max="8970" width="14.7109375" style="5" customWidth="1"/>
    <col min="8971" max="8974" width="9.28515625" style="5" hidden="1" customWidth="1"/>
    <col min="8975" max="8978" width="11.28515625" style="5" customWidth="1"/>
    <col min="8979" max="8979" width="19.7109375" style="5" customWidth="1"/>
    <col min="8980" max="9218" width="9.140625" style="5"/>
    <col min="9219" max="9219" width="10.42578125" style="5" bestFit="1" customWidth="1"/>
    <col min="9220" max="9220" width="13.42578125" style="5" customWidth="1"/>
    <col min="9221" max="9221" width="12.42578125" style="5" customWidth="1"/>
    <col min="9222" max="9222" width="12.5703125" style="5" customWidth="1"/>
    <col min="9223" max="9225" width="13" style="5" customWidth="1"/>
    <col min="9226" max="9226" width="14.7109375" style="5" customWidth="1"/>
    <col min="9227" max="9230" width="9.28515625" style="5" hidden="1" customWidth="1"/>
    <col min="9231" max="9234" width="11.28515625" style="5" customWidth="1"/>
    <col min="9235" max="9235" width="19.7109375" style="5" customWidth="1"/>
    <col min="9236" max="9474" width="9.140625" style="5"/>
    <col min="9475" max="9475" width="10.42578125" style="5" bestFit="1" customWidth="1"/>
    <col min="9476" max="9476" width="13.42578125" style="5" customWidth="1"/>
    <col min="9477" max="9477" width="12.42578125" style="5" customWidth="1"/>
    <col min="9478" max="9478" width="12.5703125" style="5" customWidth="1"/>
    <col min="9479" max="9481" width="13" style="5" customWidth="1"/>
    <col min="9482" max="9482" width="14.7109375" style="5" customWidth="1"/>
    <col min="9483" max="9486" width="9.28515625" style="5" hidden="1" customWidth="1"/>
    <col min="9487" max="9490" width="11.28515625" style="5" customWidth="1"/>
    <col min="9491" max="9491" width="19.7109375" style="5" customWidth="1"/>
    <col min="9492" max="9730" width="9.140625" style="5"/>
    <col min="9731" max="9731" width="10.42578125" style="5" bestFit="1" customWidth="1"/>
    <col min="9732" max="9732" width="13.42578125" style="5" customWidth="1"/>
    <col min="9733" max="9733" width="12.42578125" style="5" customWidth="1"/>
    <col min="9734" max="9734" width="12.5703125" style="5" customWidth="1"/>
    <col min="9735" max="9737" width="13" style="5" customWidth="1"/>
    <col min="9738" max="9738" width="14.7109375" style="5" customWidth="1"/>
    <col min="9739" max="9742" width="9.28515625" style="5" hidden="1" customWidth="1"/>
    <col min="9743" max="9746" width="11.28515625" style="5" customWidth="1"/>
    <col min="9747" max="9747" width="19.7109375" style="5" customWidth="1"/>
    <col min="9748" max="9986" width="9.140625" style="5"/>
    <col min="9987" max="9987" width="10.42578125" style="5" bestFit="1" customWidth="1"/>
    <col min="9988" max="9988" width="13.42578125" style="5" customWidth="1"/>
    <col min="9989" max="9989" width="12.42578125" style="5" customWidth="1"/>
    <col min="9990" max="9990" width="12.5703125" style="5" customWidth="1"/>
    <col min="9991" max="9993" width="13" style="5" customWidth="1"/>
    <col min="9994" max="9994" width="14.7109375" style="5" customWidth="1"/>
    <col min="9995" max="9998" width="9.28515625" style="5" hidden="1" customWidth="1"/>
    <col min="9999" max="10002" width="11.28515625" style="5" customWidth="1"/>
    <col min="10003" max="10003" width="19.7109375" style="5" customWidth="1"/>
    <col min="10004" max="10242" width="9.140625" style="5"/>
    <col min="10243" max="10243" width="10.42578125" style="5" bestFit="1" customWidth="1"/>
    <col min="10244" max="10244" width="13.42578125" style="5" customWidth="1"/>
    <col min="10245" max="10245" width="12.42578125" style="5" customWidth="1"/>
    <col min="10246" max="10246" width="12.5703125" style="5" customWidth="1"/>
    <col min="10247" max="10249" width="13" style="5" customWidth="1"/>
    <col min="10250" max="10250" width="14.7109375" style="5" customWidth="1"/>
    <col min="10251" max="10254" width="9.28515625" style="5" hidden="1" customWidth="1"/>
    <col min="10255" max="10258" width="11.28515625" style="5" customWidth="1"/>
    <col min="10259" max="10259" width="19.7109375" style="5" customWidth="1"/>
    <col min="10260" max="10498" width="9.140625" style="5"/>
    <col min="10499" max="10499" width="10.42578125" style="5" bestFit="1" customWidth="1"/>
    <col min="10500" max="10500" width="13.42578125" style="5" customWidth="1"/>
    <col min="10501" max="10501" width="12.42578125" style="5" customWidth="1"/>
    <col min="10502" max="10502" width="12.5703125" style="5" customWidth="1"/>
    <col min="10503" max="10505" width="13" style="5" customWidth="1"/>
    <col min="10506" max="10506" width="14.7109375" style="5" customWidth="1"/>
    <col min="10507" max="10510" width="9.28515625" style="5" hidden="1" customWidth="1"/>
    <col min="10511" max="10514" width="11.28515625" style="5" customWidth="1"/>
    <col min="10515" max="10515" width="19.7109375" style="5" customWidth="1"/>
    <col min="10516" max="10754" width="9.140625" style="5"/>
    <col min="10755" max="10755" width="10.42578125" style="5" bestFit="1" customWidth="1"/>
    <col min="10756" max="10756" width="13.42578125" style="5" customWidth="1"/>
    <col min="10757" max="10757" width="12.42578125" style="5" customWidth="1"/>
    <col min="10758" max="10758" width="12.5703125" style="5" customWidth="1"/>
    <col min="10759" max="10761" width="13" style="5" customWidth="1"/>
    <col min="10762" max="10762" width="14.7109375" style="5" customWidth="1"/>
    <col min="10763" max="10766" width="9.28515625" style="5" hidden="1" customWidth="1"/>
    <col min="10767" max="10770" width="11.28515625" style="5" customWidth="1"/>
    <col min="10771" max="10771" width="19.7109375" style="5" customWidth="1"/>
    <col min="10772" max="11010" width="9.140625" style="5"/>
    <col min="11011" max="11011" width="10.42578125" style="5" bestFit="1" customWidth="1"/>
    <col min="11012" max="11012" width="13.42578125" style="5" customWidth="1"/>
    <col min="11013" max="11013" width="12.42578125" style="5" customWidth="1"/>
    <col min="11014" max="11014" width="12.5703125" style="5" customWidth="1"/>
    <col min="11015" max="11017" width="13" style="5" customWidth="1"/>
    <col min="11018" max="11018" width="14.7109375" style="5" customWidth="1"/>
    <col min="11019" max="11022" width="9.28515625" style="5" hidden="1" customWidth="1"/>
    <col min="11023" max="11026" width="11.28515625" style="5" customWidth="1"/>
    <col min="11027" max="11027" width="19.7109375" style="5" customWidth="1"/>
    <col min="11028" max="11266" width="9.140625" style="5"/>
    <col min="11267" max="11267" width="10.42578125" style="5" bestFit="1" customWidth="1"/>
    <col min="11268" max="11268" width="13.42578125" style="5" customWidth="1"/>
    <col min="11269" max="11269" width="12.42578125" style="5" customWidth="1"/>
    <col min="11270" max="11270" width="12.5703125" style="5" customWidth="1"/>
    <col min="11271" max="11273" width="13" style="5" customWidth="1"/>
    <col min="11274" max="11274" width="14.7109375" style="5" customWidth="1"/>
    <col min="11275" max="11278" width="9.28515625" style="5" hidden="1" customWidth="1"/>
    <col min="11279" max="11282" width="11.28515625" style="5" customWidth="1"/>
    <col min="11283" max="11283" width="19.7109375" style="5" customWidth="1"/>
    <col min="11284" max="11522" width="9.140625" style="5"/>
    <col min="11523" max="11523" width="10.42578125" style="5" bestFit="1" customWidth="1"/>
    <col min="11524" max="11524" width="13.42578125" style="5" customWidth="1"/>
    <col min="11525" max="11525" width="12.42578125" style="5" customWidth="1"/>
    <col min="11526" max="11526" width="12.5703125" style="5" customWidth="1"/>
    <col min="11527" max="11529" width="13" style="5" customWidth="1"/>
    <col min="11530" max="11530" width="14.7109375" style="5" customWidth="1"/>
    <col min="11531" max="11534" width="9.28515625" style="5" hidden="1" customWidth="1"/>
    <col min="11535" max="11538" width="11.28515625" style="5" customWidth="1"/>
    <col min="11539" max="11539" width="19.7109375" style="5" customWidth="1"/>
    <col min="11540" max="11778" width="9.140625" style="5"/>
    <col min="11779" max="11779" width="10.42578125" style="5" bestFit="1" customWidth="1"/>
    <col min="11780" max="11780" width="13.42578125" style="5" customWidth="1"/>
    <col min="11781" max="11781" width="12.42578125" style="5" customWidth="1"/>
    <col min="11782" max="11782" width="12.5703125" style="5" customWidth="1"/>
    <col min="11783" max="11785" width="13" style="5" customWidth="1"/>
    <col min="11786" max="11786" width="14.7109375" style="5" customWidth="1"/>
    <col min="11787" max="11790" width="9.28515625" style="5" hidden="1" customWidth="1"/>
    <col min="11791" max="11794" width="11.28515625" style="5" customWidth="1"/>
    <col min="11795" max="11795" width="19.7109375" style="5" customWidth="1"/>
    <col min="11796" max="12034" width="9.140625" style="5"/>
    <col min="12035" max="12035" width="10.42578125" style="5" bestFit="1" customWidth="1"/>
    <col min="12036" max="12036" width="13.42578125" style="5" customWidth="1"/>
    <col min="12037" max="12037" width="12.42578125" style="5" customWidth="1"/>
    <col min="12038" max="12038" width="12.5703125" style="5" customWidth="1"/>
    <col min="12039" max="12041" width="13" style="5" customWidth="1"/>
    <col min="12042" max="12042" width="14.7109375" style="5" customWidth="1"/>
    <col min="12043" max="12046" width="9.28515625" style="5" hidden="1" customWidth="1"/>
    <col min="12047" max="12050" width="11.28515625" style="5" customWidth="1"/>
    <col min="12051" max="12051" width="19.7109375" style="5" customWidth="1"/>
    <col min="12052" max="12290" width="9.140625" style="5"/>
    <col min="12291" max="12291" width="10.42578125" style="5" bestFit="1" customWidth="1"/>
    <col min="12292" max="12292" width="13.42578125" style="5" customWidth="1"/>
    <col min="12293" max="12293" width="12.42578125" style="5" customWidth="1"/>
    <col min="12294" max="12294" width="12.5703125" style="5" customWidth="1"/>
    <col min="12295" max="12297" width="13" style="5" customWidth="1"/>
    <col min="12298" max="12298" width="14.7109375" style="5" customWidth="1"/>
    <col min="12299" max="12302" width="9.28515625" style="5" hidden="1" customWidth="1"/>
    <col min="12303" max="12306" width="11.28515625" style="5" customWidth="1"/>
    <col min="12307" max="12307" width="19.7109375" style="5" customWidth="1"/>
    <col min="12308" max="12546" width="9.140625" style="5"/>
    <col min="12547" max="12547" width="10.42578125" style="5" bestFit="1" customWidth="1"/>
    <col min="12548" max="12548" width="13.42578125" style="5" customWidth="1"/>
    <col min="12549" max="12549" width="12.42578125" style="5" customWidth="1"/>
    <col min="12550" max="12550" width="12.5703125" style="5" customWidth="1"/>
    <col min="12551" max="12553" width="13" style="5" customWidth="1"/>
    <col min="12554" max="12554" width="14.7109375" style="5" customWidth="1"/>
    <col min="12555" max="12558" width="9.28515625" style="5" hidden="1" customWidth="1"/>
    <col min="12559" max="12562" width="11.28515625" style="5" customWidth="1"/>
    <col min="12563" max="12563" width="19.7109375" style="5" customWidth="1"/>
    <col min="12564" max="12802" width="9.140625" style="5"/>
    <col min="12803" max="12803" width="10.42578125" style="5" bestFit="1" customWidth="1"/>
    <col min="12804" max="12804" width="13.42578125" style="5" customWidth="1"/>
    <col min="12805" max="12805" width="12.42578125" style="5" customWidth="1"/>
    <col min="12806" max="12806" width="12.5703125" style="5" customWidth="1"/>
    <col min="12807" max="12809" width="13" style="5" customWidth="1"/>
    <col min="12810" max="12810" width="14.7109375" style="5" customWidth="1"/>
    <col min="12811" max="12814" width="9.28515625" style="5" hidden="1" customWidth="1"/>
    <col min="12815" max="12818" width="11.28515625" style="5" customWidth="1"/>
    <col min="12819" max="12819" width="19.7109375" style="5" customWidth="1"/>
    <col min="12820" max="13058" width="9.140625" style="5"/>
    <col min="13059" max="13059" width="10.42578125" style="5" bestFit="1" customWidth="1"/>
    <col min="13060" max="13060" width="13.42578125" style="5" customWidth="1"/>
    <col min="13061" max="13061" width="12.42578125" style="5" customWidth="1"/>
    <col min="13062" max="13062" width="12.5703125" style="5" customWidth="1"/>
    <col min="13063" max="13065" width="13" style="5" customWidth="1"/>
    <col min="13066" max="13066" width="14.7109375" style="5" customWidth="1"/>
    <col min="13067" max="13070" width="9.28515625" style="5" hidden="1" customWidth="1"/>
    <col min="13071" max="13074" width="11.28515625" style="5" customWidth="1"/>
    <col min="13075" max="13075" width="19.7109375" style="5" customWidth="1"/>
    <col min="13076" max="13314" width="9.140625" style="5"/>
    <col min="13315" max="13315" width="10.42578125" style="5" bestFit="1" customWidth="1"/>
    <col min="13316" max="13316" width="13.42578125" style="5" customWidth="1"/>
    <col min="13317" max="13317" width="12.42578125" style="5" customWidth="1"/>
    <col min="13318" max="13318" width="12.5703125" style="5" customWidth="1"/>
    <col min="13319" max="13321" width="13" style="5" customWidth="1"/>
    <col min="13322" max="13322" width="14.7109375" style="5" customWidth="1"/>
    <col min="13323" max="13326" width="9.28515625" style="5" hidden="1" customWidth="1"/>
    <col min="13327" max="13330" width="11.28515625" style="5" customWidth="1"/>
    <col min="13331" max="13331" width="19.7109375" style="5" customWidth="1"/>
    <col min="13332" max="13570" width="9.140625" style="5"/>
    <col min="13571" max="13571" width="10.42578125" style="5" bestFit="1" customWidth="1"/>
    <col min="13572" max="13572" width="13.42578125" style="5" customWidth="1"/>
    <col min="13573" max="13573" width="12.42578125" style="5" customWidth="1"/>
    <col min="13574" max="13574" width="12.5703125" style="5" customWidth="1"/>
    <col min="13575" max="13577" width="13" style="5" customWidth="1"/>
    <col min="13578" max="13578" width="14.7109375" style="5" customWidth="1"/>
    <col min="13579" max="13582" width="9.28515625" style="5" hidden="1" customWidth="1"/>
    <col min="13583" max="13586" width="11.28515625" style="5" customWidth="1"/>
    <col min="13587" max="13587" width="19.7109375" style="5" customWidth="1"/>
    <col min="13588" max="13826" width="9.140625" style="5"/>
    <col min="13827" max="13827" width="10.42578125" style="5" bestFit="1" customWidth="1"/>
    <col min="13828" max="13828" width="13.42578125" style="5" customWidth="1"/>
    <col min="13829" max="13829" width="12.42578125" style="5" customWidth="1"/>
    <col min="13830" max="13830" width="12.5703125" style="5" customWidth="1"/>
    <col min="13831" max="13833" width="13" style="5" customWidth="1"/>
    <col min="13834" max="13834" width="14.7109375" style="5" customWidth="1"/>
    <col min="13835" max="13838" width="9.28515625" style="5" hidden="1" customWidth="1"/>
    <col min="13839" max="13842" width="11.28515625" style="5" customWidth="1"/>
    <col min="13843" max="13843" width="19.7109375" style="5" customWidth="1"/>
    <col min="13844" max="14082" width="9.140625" style="5"/>
    <col min="14083" max="14083" width="10.42578125" style="5" bestFit="1" customWidth="1"/>
    <col min="14084" max="14084" width="13.42578125" style="5" customWidth="1"/>
    <col min="14085" max="14085" width="12.42578125" style="5" customWidth="1"/>
    <col min="14086" max="14086" width="12.5703125" style="5" customWidth="1"/>
    <col min="14087" max="14089" width="13" style="5" customWidth="1"/>
    <col min="14090" max="14090" width="14.7109375" style="5" customWidth="1"/>
    <col min="14091" max="14094" width="9.28515625" style="5" hidden="1" customWidth="1"/>
    <col min="14095" max="14098" width="11.28515625" style="5" customWidth="1"/>
    <col min="14099" max="14099" width="19.7109375" style="5" customWidth="1"/>
    <col min="14100" max="14338" width="9.140625" style="5"/>
    <col min="14339" max="14339" width="10.42578125" style="5" bestFit="1" customWidth="1"/>
    <col min="14340" max="14340" width="13.42578125" style="5" customWidth="1"/>
    <col min="14341" max="14341" width="12.42578125" style="5" customWidth="1"/>
    <col min="14342" max="14342" width="12.5703125" style="5" customWidth="1"/>
    <col min="14343" max="14345" width="13" style="5" customWidth="1"/>
    <col min="14346" max="14346" width="14.7109375" style="5" customWidth="1"/>
    <col min="14347" max="14350" width="9.28515625" style="5" hidden="1" customWidth="1"/>
    <col min="14351" max="14354" width="11.28515625" style="5" customWidth="1"/>
    <col min="14355" max="14355" width="19.7109375" style="5" customWidth="1"/>
    <col min="14356" max="14594" width="9.140625" style="5"/>
    <col min="14595" max="14595" width="10.42578125" style="5" bestFit="1" customWidth="1"/>
    <col min="14596" max="14596" width="13.42578125" style="5" customWidth="1"/>
    <col min="14597" max="14597" width="12.42578125" style="5" customWidth="1"/>
    <col min="14598" max="14598" width="12.5703125" style="5" customWidth="1"/>
    <col min="14599" max="14601" width="13" style="5" customWidth="1"/>
    <col min="14602" max="14602" width="14.7109375" style="5" customWidth="1"/>
    <col min="14603" max="14606" width="9.28515625" style="5" hidden="1" customWidth="1"/>
    <col min="14607" max="14610" width="11.28515625" style="5" customWidth="1"/>
    <col min="14611" max="14611" width="19.7109375" style="5" customWidth="1"/>
    <col min="14612" max="14850" width="9.140625" style="5"/>
    <col min="14851" max="14851" width="10.42578125" style="5" bestFit="1" customWidth="1"/>
    <col min="14852" max="14852" width="13.42578125" style="5" customWidth="1"/>
    <col min="14853" max="14853" width="12.42578125" style="5" customWidth="1"/>
    <col min="14854" max="14854" width="12.5703125" style="5" customWidth="1"/>
    <col min="14855" max="14857" width="13" style="5" customWidth="1"/>
    <col min="14858" max="14858" width="14.7109375" style="5" customWidth="1"/>
    <col min="14859" max="14862" width="9.28515625" style="5" hidden="1" customWidth="1"/>
    <col min="14863" max="14866" width="11.28515625" style="5" customWidth="1"/>
    <col min="14867" max="14867" width="19.7109375" style="5" customWidth="1"/>
    <col min="14868" max="15106" width="9.140625" style="5"/>
    <col min="15107" max="15107" width="10.42578125" style="5" bestFit="1" customWidth="1"/>
    <col min="15108" max="15108" width="13.42578125" style="5" customWidth="1"/>
    <col min="15109" max="15109" width="12.42578125" style="5" customWidth="1"/>
    <col min="15110" max="15110" width="12.5703125" style="5" customWidth="1"/>
    <col min="15111" max="15113" width="13" style="5" customWidth="1"/>
    <col min="15114" max="15114" width="14.7109375" style="5" customWidth="1"/>
    <col min="15115" max="15118" width="9.28515625" style="5" hidden="1" customWidth="1"/>
    <col min="15119" max="15122" width="11.28515625" style="5" customWidth="1"/>
    <col min="15123" max="15123" width="19.7109375" style="5" customWidth="1"/>
    <col min="15124" max="15362" width="9.140625" style="5"/>
    <col min="15363" max="15363" width="10.42578125" style="5" bestFit="1" customWidth="1"/>
    <col min="15364" max="15364" width="13.42578125" style="5" customWidth="1"/>
    <col min="15365" max="15365" width="12.42578125" style="5" customWidth="1"/>
    <col min="15366" max="15366" width="12.5703125" style="5" customWidth="1"/>
    <col min="15367" max="15369" width="13" style="5" customWidth="1"/>
    <col min="15370" max="15370" width="14.7109375" style="5" customWidth="1"/>
    <col min="15371" max="15374" width="9.28515625" style="5" hidden="1" customWidth="1"/>
    <col min="15375" max="15378" width="11.28515625" style="5" customWidth="1"/>
    <col min="15379" max="15379" width="19.7109375" style="5" customWidth="1"/>
    <col min="15380" max="15618" width="9.140625" style="5"/>
    <col min="15619" max="15619" width="10.42578125" style="5" bestFit="1" customWidth="1"/>
    <col min="15620" max="15620" width="13.42578125" style="5" customWidth="1"/>
    <col min="15621" max="15621" width="12.42578125" style="5" customWidth="1"/>
    <col min="15622" max="15622" width="12.5703125" style="5" customWidth="1"/>
    <col min="15623" max="15625" width="13" style="5" customWidth="1"/>
    <col min="15626" max="15626" width="14.7109375" style="5" customWidth="1"/>
    <col min="15627" max="15630" width="9.28515625" style="5" hidden="1" customWidth="1"/>
    <col min="15631" max="15634" width="11.28515625" style="5" customWidth="1"/>
    <col min="15635" max="15635" width="19.7109375" style="5" customWidth="1"/>
    <col min="15636" max="15874" width="9.140625" style="5"/>
    <col min="15875" max="15875" width="10.42578125" style="5" bestFit="1" customWidth="1"/>
    <col min="15876" max="15876" width="13.42578125" style="5" customWidth="1"/>
    <col min="15877" max="15877" width="12.42578125" style="5" customWidth="1"/>
    <col min="15878" max="15878" width="12.5703125" style="5" customWidth="1"/>
    <col min="15879" max="15881" width="13" style="5" customWidth="1"/>
    <col min="15882" max="15882" width="14.7109375" style="5" customWidth="1"/>
    <col min="15883" max="15886" width="9.28515625" style="5" hidden="1" customWidth="1"/>
    <col min="15887" max="15890" width="11.28515625" style="5" customWidth="1"/>
    <col min="15891" max="15891" width="19.7109375" style="5" customWidth="1"/>
    <col min="15892" max="16130" width="9.140625" style="5"/>
    <col min="16131" max="16131" width="10.42578125" style="5" bestFit="1" customWidth="1"/>
    <col min="16132" max="16132" width="13.42578125" style="5" customWidth="1"/>
    <col min="16133" max="16133" width="12.42578125" style="5" customWidth="1"/>
    <col min="16134" max="16134" width="12.5703125" style="5" customWidth="1"/>
    <col min="16135" max="16137" width="13" style="5" customWidth="1"/>
    <col min="16138" max="16138" width="14.7109375" style="5" customWidth="1"/>
    <col min="16139" max="16142" width="9.28515625" style="5" hidden="1" customWidth="1"/>
    <col min="16143" max="16146" width="11.28515625" style="5" customWidth="1"/>
    <col min="16147" max="16147" width="19.7109375" style="5" customWidth="1"/>
    <col min="16148" max="16383" width="9.140625" style="5"/>
    <col min="16384" max="16384" width="8.7109375" style="5" customWidth="1"/>
  </cols>
  <sheetData>
    <row r="1" spans="1:25" ht="13.9" customHeight="1" thickBot="1">
      <c r="A1" s="1" t="s">
        <v>0</v>
      </c>
      <c r="B1" s="205" t="s">
        <v>51</v>
      </c>
      <c r="C1" s="205"/>
      <c r="D1" s="1" t="s">
        <v>1</v>
      </c>
      <c r="E1" s="2">
        <v>12</v>
      </c>
      <c r="F1" s="2"/>
      <c r="G1" s="2"/>
      <c r="H1" s="3" t="s">
        <v>2</v>
      </c>
      <c r="I1" s="4">
        <v>41091</v>
      </c>
      <c r="L1" s="208" t="s">
        <v>3</v>
      </c>
      <c r="M1" s="208"/>
      <c r="N1"/>
      <c r="T1"/>
      <c r="U1"/>
      <c r="V1"/>
    </row>
    <row r="2" spans="1:25" ht="15">
      <c r="A2" s="1" t="s">
        <v>4</v>
      </c>
      <c r="B2" s="206">
        <v>436782257</v>
      </c>
      <c r="C2" s="206"/>
      <c r="E2" s="6"/>
      <c r="F2" s="6"/>
      <c r="G2" s="6"/>
      <c r="H2" s="3" t="s">
        <v>5</v>
      </c>
      <c r="I2" s="4">
        <v>21633</v>
      </c>
      <c r="K2" s="7">
        <v>2007</v>
      </c>
      <c r="L2" s="11">
        <v>2007</v>
      </c>
      <c r="M2" s="11">
        <v>2007</v>
      </c>
      <c r="N2"/>
      <c r="O2" s="8">
        <v>58000</v>
      </c>
      <c r="P2" s="9"/>
      <c r="Q2" s="9"/>
      <c r="R2" s="8">
        <v>19500</v>
      </c>
      <c r="S2" s="10"/>
      <c r="T2"/>
      <c r="U2"/>
      <c r="V2" s="205"/>
      <c r="W2" s="205"/>
      <c r="X2" s="205"/>
      <c r="Y2" s="205"/>
    </row>
    <row r="3" spans="1:25" ht="15">
      <c r="A3" s="11" t="s">
        <v>6</v>
      </c>
      <c r="B3" s="11" t="s">
        <v>7</v>
      </c>
      <c r="C3" s="11" t="s">
        <v>8</v>
      </c>
      <c r="D3" s="11" t="s">
        <v>8</v>
      </c>
      <c r="E3" s="11" t="s">
        <v>9</v>
      </c>
      <c r="F3" s="11" t="s">
        <v>10</v>
      </c>
      <c r="G3" s="11" t="s">
        <v>53</v>
      </c>
      <c r="H3" s="3" t="s">
        <v>11</v>
      </c>
      <c r="I3" s="3">
        <v>445000</v>
      </c>
      <c r="J3" s="49"/>
      <c r="K3" s="12" t="s">
        <v>12</v>
      </c>
      <c r="L3" s="13" t="s">
        <v>13</v>
      </c>
      <c r="M3" s="13" t="s">
        <v>13</v>
      </c>
      <c r="N3"/>
      <c r="O3" s="14">
        <f>-SUM(C30:E30)</f>
        <v>-58000</v>
      </c>
      <c r="R3" s="14">
        <v>0</v>
      </c>
      <c r="S3" s="15" t="s">
        <v>14</v>
      </c>
      <c r="T3"/>
      <c r="U3" s="16"/>
      <c r="V3" s="206"/>
      <c r="W3" s="206"/>
      <c r="X3" s="206"/>
      <c r="Y3" s="206"/>
    </row>
    <row r="4" spans="1:25" ht="15.7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3" t="s">
        <v>17</v>
      </c>
      <c r="I4" s="18">
        <f>I3/E1</f>
        <v>37083.333333333336</v>
      </c>
      <c r="J4" s="49"/>
      <c r="K4" s="12" t="s">
        <v>16</v>
      </c>
      <c r="L4" s="13" t="s">
        <v>18</v>
      </c>
      <c r="M4" s="13" t="s">
        <v>19</v>
      </c>
      <c r="N4"/>
      <c r="O4" s="19">
        <f>SUM(O2:O3)</f>
        <v>0</v>
      </c>
      <c r="P4" s="20" t="s">
        <v>44</v>
      </c>
      <c r="Q4" s="20"/>
      <c r="R4" s="14">
        <v>6500</v>
      </c>
      <c r="S4" s="15" t="s">
        <v>20</v>
      </c>
      <c r="T4"/>
      <c r="U4" s="16"/>
    </row>
    <row r="5" spans="1:25" ht="15">
      <c r="A5" s="21" t="s">
        <v>21</v>
      </c>
      <c r="B5" s="21" t="s">
        <v>22</v>
      </c>
      <c r="C5" s="21" t="s">
        <v>46</v>
      </c>
      <c r="D5" s="21" t="s">
        <v>117</v>
      </c>
      <c r="E5" s="21" t="s">
        <v>24</v>
      </c>
      <c r="F5" s="21" t="s">
        <v>25</v>
      </c>
      <c r="G5" s="21" t="s">
        <v>32</v>
      </c>
      <c r="H5" s="3" t="s">
        <v>26</v>
      </c>
      <c r="I5" s="3">
        <f>I4/2</f>
        <v>18541.666666666668</v>
      </c>
      <c r="J5" s="49"/>
      <c r="K5" s="22" t="s">
        <v>27</v>
      </c>
      <c r="L5" s="21" t="s">
        <v>28</v>
      </c>
      <c r="M5" s="21" t="s">
        <v>28</v>
      </c>
      <c r="N5"/>
      <c r="R5" s="14">
        <f>-D30</f>
        <v>-7250.03</v>
      </c>
      <c r="S5" s="15" t="s">
        <v>29</v>
      </c>
      <c r="T5"/>
      <c r="U5" s="16"/>
    </row>
    <row r="6" spans="1:25" ht="15.75" thickBot="1">
      <c r="A6" s="23">
        <v>40553</v>
      </c>
      <c r="B6" s="144">
        <v>0</v>
      </c>
      <c r="C6" s="145">
        <f>B6*0.075</f>
        <v>0</v>
      </c>
      <c r="D6" s="145">
        <f>B6*0.025</f>
        <v>0</v>
      </c>
      <c r="E6" s="146">
        <f>B6*0.1</f>
        <v>0</v>
      </c>
      <c r="F6" s="147">
        <v>0</v>
      </c>
      <c r="G6" s="147">
        <v>0</v>
      </c>
      <c r="I6" s="16"/>
      <c r="J6" s="28"/>
      <c r="K6" s="29" t="e">
        <v>#REF!</v>
      </c>
      <c r="L6" s="30" t="e">
        <v>#REF!</v>
      </c>
      <c r="M6" s="30" t="e">
        <v>#REF!</v>
      </c>
      <c r="N6"/>
      <c r="O6" s="76" t="s">
        <v>116</v>
      </c>
      <c r="P6" s="77"/>
      <c r="Q6" s="77"/>
      <c r="R6" s="19">
        <f>SUM(R2:R5)</f>
        <v>18749.97</v>
      </c>
      <c r="S6" s="32" t="s">
        <v>93</v>
      </c>
      <c r="T6"/>
      <c r="U6" s="16"/>
    </row>
    <row r="7" spans="1:25" ht="15.75" thickBot="1">
      <c r="A7" s="23">
        <v>40568</v>
      </c>
      <c r="B7" s="144">
        <v>0</v>
      </c>
      <c r="C7" s="145">
        <f t="shared" ref="C7:C23" si="0">B7*0.075</f>
        <v>0</v>
      </c>
      <c r="D7" s="145">
        <f t="shared" ref="D7:D23" si="1">B7*0.025</f>
        <v>0</v>
      </c>
      <c r="E7" s="146">
        <f t="shared" ref="E7:E23" si="2">B7*0.1</f>
        <v>0</v>
      </c>
      <c r="F7" s="147">
        <v>0</v>
      </c>
      <c r="G7" s="147">
        <v>0</v>
      </c>
      <c r="I7" s="16"/>
      <c r="J7" s="28"/>
      <c r="K7" s="29" t="e">
        <v>#REF!</v>
      </c>
      <c r="L7" s="30" t="e">
        <v>#REF!</v>
      </c>
      <c r="M7" s="30" t="e">
        <v>#REF!</v>
      </c>
      <c r="N7"/>
      <c r="O7" s="76" t="s">
        <v>107</v>
      </c>
      <c r="P7" s="77"/>
      <c r="Q7" s="77"/>
      <c r="R7" s="78" t="s">
        <v>45</v>
      </c>
      <c r="S7" s="79"/>
      <c r="T7"/>
      <c r="U7" s="16"/>
    </row>
    <row r="8" spans="1:25" ht="15">
      <c r="A8" s="23">
        <v>40584</v>
      </c>
      <c r="B8" s="144">
        <v>0</v>
      </c>
      <c r="C8" s="145">
        <f t="shared" si="0"/>
        <v>0</v>
      </c>
      <c r="D8" s="145">
        <f t="shared" si="1"/>
        <v>0</v>
      </c>
      <c r="E8" s="146">
        <f t="shared" si="2"/>
        <v>0</v>
      </c>
      <c r="F8" s="147">
        <v>0</v>
      </c>
      <c r="G8" s="147">
        <v>0</v>
      </c>
      <c r="I8" s="16"/>
      <c r="J8" s="28"/>
      <c r="K8" s="29" t="e">
        <v>#REF!</v>
      </c>
      <c r="L8" s="30" t="e">
        <v>#REF!</v>
      </c>
      <c r="M8" s="30" t="e">
        <v>#REF!</v>
      </c>
      <c r="N8"/>
      <c r="O8" s="31"/>
      <c r="R8" s="33">
        <f>O4</f>
        <v>0</v>
      </c>
      <c r="S8" s="34" t="s">
        <v>101</v>
      </c>
      <c r="T8"/>
      <c r="U8" s="16"/>
    </row>
    <row r="9" spans="1:25" ht="15">
      <c r="A9" s="23">
        <v>40599</v>
      </c>
      <c r="B9" s="144">
        <v>0</v>
      </c>
      <c r="C9" s="145">
        <f t="shared" si="0"/>
        <v>0</v>
      </c>
      <c r="D9" s="145">
        <f t="shared" si="1"/>
        <v>0</v>
      </c>
      <c r="E9" s="146">
        <f t="shared" si="2"/>
        <v>0</v>
      </c>
      <c r="F9" s="147">
        <v>0</v>
      </c>
      <c r="G9" s="147">
        <v>0</v>
      </c>
      <c r="I9" s="16"/>
      <c r="J9" s="28"/>
      <c r="K9" s="29" t="e">
        <v>#REF!</v>
      </c>
      <c r="L9" s="30" t="e">
        <v>#REF!</v>
      </c>
      <c r="M9" s="30" t="e">
        <v>#REF!</v>
      </c>
      <c r="N9"/>
      <c r="O9" s="35"/>
      <c r="P9" s="36"/>
      <c r="Q9" s="36"/>
      <c r="R9" s="14">
        <v>0</v>
      </c>
      <c r="S9" s="15" t="s">
        <v>14</v>
      </c>
      <c r="T9"/>
      <c r="U9" s="16"/>
    </row>
    <row r="10" spans="1:25" ht="15">
      <c r="A10" s="23">
        <v>40612</v>
      </c>
      <c r="B10" s="144">
        <v>0</v>
      </c>
      <c r="C10" s="145">
        <f t="shared" si="0"/>
        <v>0</v>
      </c>
      <c r="D10" s="145">
        <f t="shared" si="1"/>
        <v>0</v>
      </c>
      <c r="E10" s="146">
        <f t="shared" si="2"/>
        <v>0</v>
      </c>
      <c r="F10" s="147">
        <v>0</v>
      </c>
      <c r="G10" s="147">
        <v>0</v>
      </c>
      <c r="I10" s="80" t="s">
        <v>109</v>
      </c>
      <c r="J10" s="81"/>
      <c r="K10" s="82"/>
      <c r="L10" s="83"/>
      <c r="M10" s="83"/>
      <c r="N10" s="84"/>
      <c r="O10" s="85"/>
      <c r="P10" s="86"/>
      <c r="Q10" s="84"/>
      <c r="R10" s="14">
        <v>6500</v>
      </c>
      <c r="S10" s="15" t="s">
        <v>20</v>
      </c>
      <c r="T10"/>
      <c r="U10" s="16"/>
    </row>
    <row r="11" spans="1:25" ht="15.75" thickBot="1">
      <c r="A11" s="23">
        <v>40627</v>
      </c>
      <c r="B11" s="144">
        <v>0</v>
      </c>
      <c r="C11" s="145">
        <f t="shared" si="0"/>
        <v>0</v>
      </c>
      <c r="D11" s="145">
        <f t="shared" si="1"/>
        <v>0</v>
      </c>
      <c r="E11" s="146">
        <f t="shared" si="2"/>
        <v>0</v>
      </c>
      <c r="F11" s="147">
        <v>0</v>
      </c>
      <c r="G11" s="147">
        <v>0</v>
      </c>
      <c r="I11" s="80" t="s">
        <v>97</v>
      </c>
      <c r="J11" s="81"/>
      <c r="K11" s="87"/>
      <c r="L11" s="88"/>
      <c r="M11" s="88"/>
      <c r="N11" s="84"/>
      <c r="O11" s="85"/>
      <c r="P11" s="86"/>
      <c r="Q11" s="84"/>
      <c r="R11" s="19">
        <f>SUM(R8:R10)</f>
        <v>6500</v>
      </c>
      <c r="S11" s="37"/>
      <c r="T11"/>
      <c r="U11" s="41"/>
      <c r="V11"/>
    </row>
    <row r="12" spans="1:25" ht="15.75" thickBot="1">
      <c r="A12" s="23">
        <v>40643</v>
      </c>
      <c r="B12" s="144">
        <v>0</v>
      </c>
      <c r="C12" s="145">
        <f t="shared" si="0"/>
        <v>0</v>
      </c>
      <c r="D12" s="145">
        <f t="shared" si="1"/>
        <v>0</v>
      </c>
      <c r="E12" s="146">
        <f t="shared" si="2"/>
        <v>0</v>
      </c>
      <c r="F12" s="147">
        <v>0</v>
      </c>
      <c r="G12" s="147">
        <v>0</v>
      </c>
      <c r="I12" s="80" t="s">
        <v>112</v>
      </c>
      <c r="J12" s="84"/>
      <c r="K12" s="87"/>
      <c r="L12" s="88"/>
      <c r="M12" s="90"/>
      <c r="N12" s="84"/>
      <c r="O12" s="85"/>
      <c r="P12" s="86"/>
      <c r="Q12" s="84"/>
      <c r="R12" s="38"/>
      <c r="S12" s="39"/>
      <c r="T12"/>
      <c r="U12" s="31"/>
      <c r="V12" s="31"/>
      <c r="W12" s="89"/>
    </row>
    <row r="13" spans="1:25" ht="15.75" thickBot="1">
      <c r="A13" s="23">
        <v>40658</v>
      </c>
      <c r="B13" s="144">
        <v>0</v>
      </c>
      <c r="C13" s="145">
        <f t="shared" si="0"/>
        <v>0</v>
      </c>
      <c r="D13" s="145">
        <f t="shared" si="1"/>
        <v>0</v>
      </c>
      <c r="E13" s="146">
        <f t="shared" si="2"/>
        <v>0</v>
      </c>
      <c r="F13" s="147">
        <v>0</v>
      </c>
      <c r="G13" s="147">
        <v>0</v>
      </c>
      <c r="I13" s="80" t="s">
        <v>105</v>
      </c>
      <c r="J13" s="81"/>
      <c r="K13" s="91" t="e">
        <v>#REF!</v>
      </c>
      <c r="L13" s="92" t="e">
        <v>#REF!</v>
      </c>
      <c r="M13" s="92" t="e">
        <v>#REF!</v>
      </c>
      <c r="N13" s="84"/>
      <c r="O13" s="85"/>
      <c r="P13" s="86"/>
      <c r="Q13" s="84"/>
      <c r="R13" s="40" t="s">
        <v>30</v>
      </c>
      <c r="S13" s="10"/>
      <c r="T13"/>
      <c r="U13" s="89"/>
      <c r="V13" s="89"/>
    </row>
    <row r="14" spans="1:25" ht="15">
      <c r="A14" s="23">
        <v>40673</v>
      </c>
      <c r="B14" s="144">
        <v>0</v>
      </c>
      <c r="C14" s="145">
        <f t="shared" si="0"/>
        <v>0</v>
      </c>
      <c r="D14" s="145">
        <f t="shared" si="1"/>
        <v>0</v>
      </c>
      <c r="E14" s="146">
        <f t="shared" si="2"/>
        <v>0</v>
      </c>
      <c r="F14" s="147">
        <v>0</v>
      </c>
      <c r="G14" s="147">
        <v>0</v>
      </c>
      <c r="K14" s="209" t="e">
        <f>IF(#REF!&gt;=0,"Total&lt;45K eligible for SRA","&gt;45K Not eligible for SRA")</f>
        <v>#REF!</v>
      </c>
      <c r="L14" s="210"/>
      <c r="M14" s="211"/>
      <c r="O14" s="31"/>
      <c r="P14" s="41"/>
      <c r="R14" s="14">
        <f>IF(R11&lt;R6,R11,R6)</f>
        <v>6500</v>
      </c>
      <c r="S14" s="42" t="s">
        <v>31</v>
      </c>
      <c r="T14"/>
      <c r="U14" s="31"/>
      <c r="V14" s="31"/>
    </row>
    <row r="15" spans="1:25" ht="15">
      <c r="A15" s="23">
        <v>40688</v>
      </c>
      <c r="B15" s="144">
        <v>0</v>
      </c>
      <c r="C15" s="145">
        <f t="shared" si="0"/>
        <v>0</v>
      </c>
      <c r="D15" s="145">
        <f t="shared" si="1"/>
        <v>0</v>
      </c>
      <c r="E15" s="146">
        <f t="shared" si="2"/>
        <v>0</v>
      </c>
      <c r="F15" s="147">
        <v>0</v>
      </c>
      <c r="G15" s="147">
        <v>0</v>
      </c>
      <c r="I15"/>
      <c r="J15"/>
      <c r="K15" s="212" t="e">
        <v>#REF!</v>
      </c>
      <c r="L15" s="213"/>
      <c r="M15" s="214"/>
      <c r="N15"/>
      <c r="O15" s="44"/>
      <c r="P15" s="41"/>
      <c r="R15" s="14">
        <f>R14-F6</f>
        <v>6500</v>
      </c>
      <c r="S15" s="23">
        <v>40553</v>
      </c>
      <c r="T15"/>
      <c r="U15" s="31"/>
      <c r="V15"/>
    </row>
    <row r="16" spans="1:25" ht="15">
      <c r="A16" s="23">
        <v>40704</v>
      </c>
      <c r="B16" s="144">
        <v>0</v>
      </c>
      <c r="C16" s="145">
        <f t="shared" si="0"/>
        <v>0</v>
      </c>
      <c r="D16" s="145">
        <f t="shared" si="1"/>
        <v>0</v>
      </c>
      <c r="E16" s="146">
        <f t="shared" si="2"/>
        <v>0</v>
      </c>
      <c r="F16" s="147">
        <v>0</v>
      </c>
      <c r="G16" s="147">
        <v>0</v>
      </c>
      <c r="H16" s="3"/>
      <c r="I16"/>
      <c r="J16"/>
      <c r="K16" s="45"/>
      <c r="L16" s="45"/>
      <c r="M16" s="45"/>
      <c r="N16" s="45"/>
      <c r="O16" s="45"/>
      <c r="P16" s="46"/>
      <c r="Q16" s="46"/>
      <c r="R16" s="14">
        <f t="shared" ref="R16:R38" si="3">R15-F7</f>
        <v>6500</v>
      </c>
      <c r="S16" s="23">
        <v>40568</v>
      </c>
      <c r="T16"/>
      <c r="U16" s="31"/>
      <c r="V16"/>
    </row>
    <row r="17" spans="1:25" ht="15">
      <c r="A17" s="23">
        <v>40719</v>
      </c>
      <c r="B17" s="144">
        <v>0</v>
      </c>
      <c r="C17" s="145">
        <f t="shared" si="0"/>
        <v>0</v>
      </c>
      <c r="D17" s="145">
        <f t="shared" si="1"/>
        <v>0</v>
      </c>
      <c r="E17" s="146">
        <f t="shared" si="2"/>
        <v>0</v>
      </c>
      <c r="F17" s="147">
        <v>0</v>
      </c>
      <c r="G17" s="147">
        <v>0</v>
      </c>
      <c r="I17"/>
      <c r="J17"/>
      <c r="K17" s="47"/>
      <c r="L17" s="45"/>
      <c r="M17" s="45"/>
      <c r="N17" s="45"/>
      <c r="O17" s="48"/>
      <c r="P17" s="45"/>
      <c r="Q17" s="46"/>
      <c r="R17" s="14">
        <f t="shared" si="3"/>
        <v>6500</v>
      </c>
      <c r="S17" s="23">
        <v>40584</v>
      </c>
      <c r="T17"/>
      <c r="U17" s="31"/>
      <c r="V17"/>
    </row>
    <row r="18" spans="1:25" ht="15">
      <c r="A18" s="23">
        <v>40369</v>
      </c>
      <c r="B18" s="144">
        <v>0</v>
      </c>
      <c r="C18" s="145">
        <f t="shared" si="0"/>
        <v>0</v>
      </c>
      <c r="D18" s="145">
        <f t="shared" si="1"/>
        <v>0</v>
      </c>
      <c r="E18" s="146">
        <f t="shared" si="2"/>
        <v>0</v>
      </c>
      <c r="F18" s="147">
        <v>0</v>
      </c>
      <c r="G18" s="147">
        <v>0</v>
      </c>
      <c r="I18"/>
      <c r="J18"/>
      <c r="K18" s="45"/>
      <c r="L18" s="45"/>
      <c r="M18" s="45"/>
      <c r="N18" s="45"/>
      <c r="R18" s="14">
        <f t="shared" si="3"/>
        <v>6500</v>
      </c>
      <c r="S18" s="23">
        <v>40599</v>
      </c>
      <c r="T18"/>
      <c r="U18" s="31"/>
      <c r="V18"/>
      <c r="X18" s="31"/>
      <c r="Y18" s="31"/>
    </row>
    <row r="19" spans="1:25" ht="15">
      <c r="A19" s="23">
        <v>40384</v>
      </c>
      <c r="B19" s="144">
        <v>0</v>
      </c>
      <c r="C19" s="145">
        <f t="shared" si="0"/>
        <v>0</v>
      </c>
      <c r="D19" s="145">
        <f t="shared" si="1"/>
        <v>0</v>
      </c>
      <c r="E19" s="146">
        <f t="shared" si="2"/>
        <v>0</v>
      </c>
      <c r="F19" s="147">
        <v>0</v>
      </c>
      <c r="G19" s="147">
        <v>0</v>
      </c>
      <c r="I19"/>
      <c r="J19"/>
      <c r="K19" s="49"/>
      <c r="L19"/>
      <c r="M19"/>
      <c r="N19"/>
      <c r="R19" s="14">
        <f t="shared" si="3"/>
        <v>6500</v>
      </c>
      <c r="S19" s="23">
        <v>40612</v>
      </c>
      <c r="T19"/>
      <c r="U19"/>
      <c r="V19"/>
    </row>
    <row r="20" spans="1:25" ht="15">
      <c r="A20" s="23">
        <v>40400</v>
      </c>
      <c r="B20" s="144">
        <v>0</v>
      </c>
      <c r="C20" s="145">
        <f t="shared" si="0"/>
        <v>0</v>
      </c>
      <c r="D20" s="145">
        <f t="shared" si="1"/>
        <v>0</v>
      </c>
      <c r="E20" s="146">
        <f t="shared" si="2"/>
        <v>0</v>
      </c>
      <c r="F20" s="147">
        <v>0</v>
      </c>
      <c r="G20" s="147">
        <v>0</v>
      </c>
      <c r="H20" s="50"/>
      <c r="I20" s="45"/>
      <c r="J20" s="45"/>
      <c r="K20"/>
      <c r="L20"/>
      <c r="M20"/>
      <c r="N20"/>
      <c r="R20" s="14">
        <f t="shared" si="3"/>
        <v>6500</v>
      </c>
      <c r="S20" s="23">
        <v>40627</v>
      </c>
      <c r="T20"/>
      <c r="U20"/>
      <c r="V20"/>
    </row>
    <row r="21" spans="1:25" ht="15">
      <c r="A21" s="23">
        <v>40415</v>
      </c>
      <c r="B21" s="144">
        <v>0</v>
      </c>
      <c r="C21" s="145">
        <f t="shared" si="0"/>
        <v>0</v>
      </c>
      <c r="D21" s="145">
        <f t="shared" si="1"/>
        <v>0</v>
      </c>
      <c r="E21" s="146">
        <f t="shared" si="2"/>
        <v>0</v>
      </c>
      <c r="F21" s="147">
        <v>0</v>
      </c>
      <c r="G21" s="147">
        <v>0</v>
      </c>
      <c r="H21" s="50"/>
      <c r="I21" s="51"/>
      <c r="J21" s="45"/>
      <c r="K21" s="52" t="s">
        <v>32</v>
      </c>
      <c r="L21"/>
      <c r="M21"/>
      <c r="N21"/>
      <c r="R21" s="14">
        <f t="shared" si="3"/>
        <v>6500</v>
      </c>
      <c r="S21" s="23">
        <v>40643</v>
      </c>
      <c r="T21"/>
      <c r="U21"/>
      <c r="V21"/>
      <c r="X21" s="31"/>
    </row>
    <row r="22" spans="1:25" ht="15">
      <c r="A22" s="23">
        <v>40066</v>
      </c>
      <c r="B22" s="144">
        <v>0</v>
      </c>
      <c r="C22" s="145">
        <f t="shared" si="0"/>
        <v>0</v>
      </c>
      <c r="D22" s="145">
        <f t="shared" si="1"/>
        <v>0</v>
      </c>
      <c r="E22" s="146">
        <f t="shared" si="2"/>
        <v>0</v>
      </c>
      <c r="F22" s="147">
        <v>0</v>
      </c>
      <c r="G22" s="147">
        <v>0</v>
      </c>
      <c r="H22" s="53"/>
      <c r="I22" s="53"/>
      <c r="J22" s="53"/>
      <c r="K22" s="52" t="s">
        <v>32</v>
      </c>
      <c r="L22"/>
      <c r="M22"/>
      <c r="N22"/>
      <c r="R22" s="14">
        <f t="shared" si="3"/>
        <v>6500</v>
      </c>
      <c r="S22" s="23">
        <v>40658</v>
      </c>
      <c r="T22"/>
      <c r="U22"/>
      <c r="V22"/>
      <c r="X22" s="31"/>
    </row>
    <row r="23" spans="1:25" ht="15">
      <c r="A23" s="23">
        <v>40081</v>
      </c>
      <c r="B23" s="144">
        <v>0</v>
      </c>
      <c r="C23" s="145">
        <f t="shared" si="0"/>
        <v>0</v>
      </c>
      <c r="D23" s="145">
        <f t="shared" si="1"/>
        <v>0</v>
      </c>
      <c r="E23" s="146">
        <f t="shared" si="2"/>
        <v>0</v>
      </c>
      <c r="F23" s="147">
        <v>0</v>
      </c>
      <c r="G23" s="147">
        <v>0</v>
      </c>
      <c r="H23" s="53"/>
      <c r="I23" s="53"/>
      <c r="J23" s="53"/>
      <c r="L23"/>
      <c r="M23"/>
      <c r="N23"/>
      <c r="R23" s="14">
        <f t="shared" si="3"/>
        <v>6500</v>
      </c>
      <c r="S23" s="23">
        <v>40673</v>
      </c>
      <c r="T23"/>
      <c r="U23" s="31"/>
      <c r="V23"/>
      <c r="X23" s="31"/>
    </row>
    <row r="24" spans="1:25" ht="15">
      <c r="A24" s="23">
        <v>40096</v>
      </c>
      <c r="B24" s="148">
        <v>333288.36</v>
      </c>
      <c r="C24" s="148">
        <v>20359.38</v>
      </c>
      <c r="D24" s="148">
        <v>6786.5</v>
      </c>
      <c r="E24" s="146">
        <f>20359.38+6786.5</f>
        <v>27145.88</v>
      </c>
      <c r="F24" s="148">
        <v>5145.7700000000004</v>
      </c>
      <c r="G24" s="148">
        <v>19788.5</v>
      </c>
      <c r="H24" s="53"/>
      <c r="I24" s="53"/>
      <c r="J24" s="53"/>
      <c r="K24" s="207"/>
      <c r="L24" s="207"/>
      <c r="M24" s="207"/>
      <c r="N24"/>
      <c r="R24" s="14">
        <f t="shared" si="3"/>
        <v>6500</v>
      </c>
      <c r="S24" s="23">
        <v>40688</v>
      </c>
      <c r="T24"/>
      <c r="U24" s="31"/>
      <c r="V24"/>
      <c r="X24" s="31"/>
    </row>
    <row r="25" spans="1:25" ht="15">
      <c r="A25" s="23">
        <v>40111</v>
      </c>
      <c r="B25" s="144">
        <f>I5</f>
        <v>18541.666666666668</v>
      </c>
      <c r="C25" s="149">
        <f>(3708.24/2)*0.75</f>
        <v>1390.59</v>
      </c>
      <c r="D25" s="149">
        <f>(3708.24/2)*0.25</f>
        <v>463.53</v>
      </c>
      <c r="E25" s="150">
        <f t="shared" ref="E25:E30" si="4">C25+D25</f>
        <v>1854.12</v>
      </c>
      <c r="F25" s="147">
        <v>270.83</v>
      </c>
      <c r="G25" s="147">
        <v>1041.5</v>
      </c>
      <c r="H25" s="54"/>
      <c r="I25" s="55"/>
      <c r="J25" s="54"/>
      <c r="K25" s="207"/>
      <c r="L25" s="207"/>
      <c r="M25" s="207"/>
      <c r="N25"/>
      <c r="R25" s="14">
        <f t="shared" si="3"/>
        <v>6500</v>
      </c>
      <c r="S25" s="23">
        <v>40704</v>
      </c>
      <c r="T25"/>
      <c r="U25" s="31"/>
      <c r="V25"/>
    </row>
    <row r="26" spans="1:25" ht="15">
      <c r="A26" s="23">
        <v>40127</v>
      </c>
      <c r="B26" s="144">
        <f>I5</f>
        <v>18541.666666666668</v>
      </c>
      <c r="C26" s="149">
        <v>0</v>
      </c>
      <c r="D26" s="149">
        <v>0</v>
      </c>
      <c r="E26" s="150">
        <f t="shared" si="4"/>
        <v>0</v>
      </c>
      <c r="F26" s="147">
        <v>270.83</v>
      </c>
      <c r="G26" s="147">
        <v>1041.5</v>
      </c>
      <c r="H26" s="50"/>
      <c r="I26" s="45"/>
      <c r="J26" s="45"/>
      <c r="K26"/>
      <c r="L26"/>
      <c r="M26"/>
      <c r="N26"/>
      <c r="R26" s="14">
        <f t="shared" si="3"/>
        <v>6500</v>
      </c>
      <c r="S26" s="23">
        <v>40719</v>
      </c>
      <c r="T26"/>
      <c r="U26" s="31"/>
      <c r="V26"/>
    </row>
    <row r="27" spans="1:25" ht="15" customHeight="1">
      <c r="A27" s="23">
        <v>40142</v>
      </c>
      <c r="B27" s="144">
        <f>I5</f>
        <v>18541.666666666668</v>
      </c>
      <c r="C27" s="149">
        <v>0</v>
      </c>
      <c r="D27" s="149">
        <v>0</v>
      </c>
      <c r="E27" s="150">
        <f t="shared" si="4"/>
        <v>0</v>
      </c>
      <c r="F27" s="147">
        <v>270.83</v>
      </c>
      <c r="G27" s="147">
        <v>1041.5</v>
      </c>
      <c r="H27" s="56"/>
      <c r="I27" s="56"/>
      <c r="J27" s="56"/>
      <c r="K27"/>
      <c r="L27"/>
      <c r="M27"/>
      <c r="N27"/>
      <c r="R27" s="14">
        <f t="shared" si="3"/>
        <v>6500</v>
      </c>
      <c r="S27" s="23">
        <v>40369</v>
      </c>
      <c r="T27"/>
      <c r="U27" s="31"/>
      <c r="V27"/>
    </row>
    <row r="28" spans="1:25" ht="15">
      <c r="A28" s="23">
        <v>40157</v>
      </c>
      <c r="B28" s="144">
        <f>I5</f>
        <v>18541.666666666668</v>
      </c>
      <c r="C28" s="149">
        <v>0</v>
      </c>
      <c r="D28" s="149">
        <v>0</v>
      </c>
      <c r="E28" s="150">
        <f t="shared" si="4"/>
        <v>0</v>
      </c>
      <c r="F28" s="147">
        <v>270.83</v>
      </c>
      <c r="G28" s="147">
        <v>1041.5</v>
      </c>
      <c r="H28" s="56"/>
      <c r="I28" s="56"/>
      <c r="J28" s="56"/>
      <c r="K28" s="45"/>
      <c r="L28" s="45"/>
      <c r="M28" s="45"/>
      <c r="N28" s="45"/>
      <c r="O28" s="48"/>
      <c r="P28" s="45"/>
      <c r="Q28" s="46"/>
      <c r="R28" s="14">
        <f t="shared" si="3"/>
        <v>6500</v>
      </c>
      <c r="S28" s="23">
        <v>40384</v>
      </c>
      <c r="T28"/>
      <c r="U28" s="89"/>
      <c r="V28"/>
    </row>
    <row r="29" spans="1:25" ht="15.75" thickBot="1">
      <c r="A29" s="23">
        <v>39441</v>
      </c>
      <c r="B29" s="144">
        <f>I5</f>
        <v>18541.666666666668</v>
      </c>
      <c r="C29" s="149">
        <v>0</v>
      </c>
      <c r="D29" s="151">
        <v>0</v>
      </c>
      <c r="E29" s="152">
        <f t="shared" si="4"/>
        <v>0</v>
      </c>
      <c r="F29" s="147">
        <v>270.83</v>
      </c>
      <c r="G29" s="147">
        <v>1041.5</v>
      </c>
      <c r="H29" s="56"/>
      <c r="I29" s="56"/>
      <c r="J29" s="56"/>
      <c r="K29" s="57"/>
      <c r="L29" s="57"/>
      <c r="M29" s="57"/>
      <c r="N29" s="57"/>
      <c r="R29" s="14">
        <f t="shared" si="3"/>
        <v>6500</v>
      </c>
      <c r="S29" s="23">
        <v>40400</v>
      </c>
      <c r="T29"/>
      <c r="U29" s="89" t="s">
        <v>32</v>
      </c>
      <c r="V29"/>
    </row>
    <row r="30" spans="1:25" ht="15">
      <c r="A30" s="58" t="s">
        <v>33</v>
      </c>
      <c r="B30" s="59">
        <f t="shared" ref="B30:G30" si="5">SUM(B6:B29)</f>
        <v>425996.69333333342</v>
      </c>
      <c r="C30" s="59">
        <f t="shared" si="5"/>
        <v>21749.97</v>
      </c>
      <c r="D30" s="94">
        <f t="shared" si="5"/>
        <v>7250.03</v>
      </c>
      <c r="E30" s="94">
        <f t="shared" si="4"/>
        <v>29000</v>
      </c>
      <c r="F30" s="59">
        <f t="shared" si="5"/>
        <v>6499.92</v>
      </c>
      <c r="G30" s="59">
        <f t="shared" si="5"/>
        <v>24996</v>
      </c>
      <c r="H30" s="61"/>
      <c r="I30" s="62" t="s">
        <v>123</v>
      </c>
      <c r="J30" s="61"/>
      <c r="K30" s="57"/>
      <c r="L30" s="57"/>
      <c r="M30" s="57"/>
      <c r="N30" s="57"/>
      <c r="R30" s="14">
        <f t="shared" si="3"/>
        <v>6500</v>
      </c>
      <c r="S30" s="23">
        <v>40415</v>
      </c>
      <c r="T30"/>
      <c r="U30" s="89" t="s">
        <v>32</v>
      </c>
      <c r="V30"/>
    </row>
    <row r="31" spans="1:25" ht="15.75" thickBot="1">
      <c r="A31" s="63" t="s">
        <v>41</v>
      </c>
      <c r="B31" s="64"/>
      <c r="C31" s="64"/>
      <c r="D31" s="64"/>
      <c r="E31" s="64">
        <f>SUM(E6:E29)</f>
        <v>29000</v>
      </c>
      <c r="F31" s="65">
        <v>0</v>
      </c>
      <c r="G31" s="65">
        <v>0</v>
      </c>
      <c r="H31" s="66"/>
      <c r="I31" s="67"/>
      <c r="J31" s="66"/>
      <c r="K31" s="57"/>
      <c r="L31" s="57"/>
      <c r="M31" s="57"/>
      <c r="N31" s="57"/>
      <c r="R31" s="14">
        <f t="shared" si="3"/>
        <v>6500</v>
      </c>
      <c r="S31" s="23">
        <v>40066</v>
      </c>
      <c r="T31"/>
      <c r="U31" s="89" t="s">
        <v>32</v>
      </c>
      <c r="V31"/>
    </row>
    <row r="32" spans="1:25" ht="15">
      <c r="A32"/>
      <c r="E32" s="31"/>
      <c r="F32" s="45"/>
      <c r="G32" s="45"/>
      <c r="H32" s="57"/>
      <c r="I32" s="57"/>
      <c r="J32" s="57"/>
      <c r="K32" s="57"/>
      <c r="L32" s="57"/>
      <c r="M32" s="57"/>
      <c r="N32" s="57"/>
      <c r="R32" s="14">
        <f t="shared" si="3"/>
        <v>6500</v>
      </c>
      <c r="S32" s="23">
        <v>40081</v>
      </c>
      <c r="T32"/>
      <c r="U32" s="89" t="s">
        <v>32</v>
      </c>
      <c r="V32"/>
    </row>
    <row r="33" spans="1:22" ht="15">
      <c r="A33"/>
      <c r="B33" s="31">
        <f>B30*0.075</f>
        <v>31949.752000000004</v>
      </c>
      <c r="D33" s="31">
        <f>B30*0.025</f>
        <v>10649.917333333337</v>
      </c>
      <c r="E33" s="136"/>
      <c r="G33" s="36"/>
      <c r="H33" s="57"/>
      <c r="I33" s="57"/>
      <c r="J33" s="57"/>
      <c r="K33" s="57"/>
      <c r="L33" s="57"/>
      <c r="M33" s="57"/>
      <c r="N33" s="57"/>
      <c r="R33" s="14">
        <f t="shared" si="3"/>
        <v>1354.2299999999996</v>
      </c>
      <c r="S33" s="23">
        <v>40096</v>
      </c>
      <c r="T33"/>
      <c r="U33"/>
      <c r="V33"/>
    </row>
    <row r="34" spans="1:22" ht="15">
      <c r="A34"/>
      <c r="B34" s="31">
        <f>B33-C30</f>
        <v>10199.782000000003</v>
      </c>
      <c r="C34" s="5" t="s">
        <v>119</v>
      </c>
      <c r="D34" s="31">
        <f>D33-D30</f>
        <v>3399.8873333333368</v>
      </c>
      <c r="E34" s="31" t="s">
        <v>120</v>
      </c>
      <c r="F34" s="36"/>
      <c r="G34" s="69"/>
      <c r="H34" s="57"/>
      <c r="I34" s="57"/>
      <c r="J34" s="57"/>
      <c r="K34" s="57"/>
      <c r="L34" s="57"/>
      <c r="M34" s="57"/>
      <c r="N34" s="57"/>
      <c r="R34" s="14">
        <f t="shared" si="3"/>
        <v>1083.3999999999996</v>
      </c>
      <c r="S34" s="23">
        <v>40111</v>
      </c>
      <c r="T34"/>
      <c r="U34"/>
      <c r="V34"/>
    </row>
    <row r="35" spans="1:22" ht="15">
      <c r="A35"/>
      <c r="C35" s="31"/>
      <c r="D35" s="31"/>
      <c r="F35" s="36"/>
      <c r="H35" s="57"/>
      <c r="I35" s="57"/>
      <c r="J35" s="57"/>
      <c r="K35" s="57"/>
      <c r="L35" s="57"/>
      <c r="M35" s="57"/>
      <c r="N35" s="57"/>
      <c r="R35" s="14">
        <f t="shared" si="3"/>
        <v>812.56999999999971</v>
      </c>
      <c r="S35" s="23">
        <v>40127</v>
      </c>
      <c r="T35"/>
      <c r="U35"/>
      <c r="V35"/>
    </row>
    <row r="36" spans="1:22" ht="15">
      <c r="A36"/>
      <c r="C36" s="31"/>
      <c r="D36" s="31"/>
      <c r="F36" s="36"/>
      <c r="H36" s="70"/>
      <c r="I36" s="57"/>
      <c r="J36" s="57"/>
      <c r="K36" s="57"/>
      <c r="L36" s="57"/>
      <c r="M36" s="57"/>
      <c r="N36" s="57"/>
      <c r="R36" s="14">
        <f t="shared" si="3"/>
        <v>541.73999999999978</v>
      </c>
      <c r="S36" s="23">
        <v>40142</v>
      </c>
      <c r="U36"/>
      <c r="V36"/>
    </row>
    <row r="37" spans="1:22" ht="15">
      <c r="A37"/>
      <c r="C37" s="31"/>
      <c r="D37" s="31"/>
      <c r="H37" s="57"/>
      <c r="I37" s="57"/>
      <c r="J37" s="57"/>
      <c r="K37" s="57"/>
      <c r="L37" s="57"/>
      <c r="M37" s="57"/>
      <c r="N37" s="57"/>
      <c r="R37" s="14">
        <f t="shared" si="3"/>
        <v>270.9099999999998</v>
      </c>
      <c r="S37" s="23">
        <v>40157</v>
      </c>
      <c r="U37"/>
      <c r="V37"/>
    </row>
    <row r="38" spans="1:22" ht="15.75" thickBot="1">
      <c r="A38"/>
      <c r="C38" s="31"/>
      <c r="D38" s="31"/>
      <c r="H38" s="57"/>
      <c r="I38" s="57"/>
      <c r="J38" s="57"/>
      <c r="K38" s="57"/>
      <c r="L38" s="57"/>
      <c r="M38" s="57"/>
      <c r="N38" s="57"/>
      <c r="O38" s="5" t="s">
        <v>42</v>
      </c>
      <c r="R38" s="142">
        <f t="shared" si="3"/>
        <v>7.9999999999813554E-2</v>
      </c>
      <c r="S38" s="71">
        <v>39441</v>
      </c>
      <c r="U38"/>
      <c r="V38"/>
    </row>
    <row r="39" spans="1:22">
      <c r="H39" s="57"/>
      <c r="I39" s="57"/>
      <c r="J39" s="57"/>
      <c r="K39" s="57"/>
      <c r="L39" s="57"/>
      <c r="M39" s="57"/>
      <c r="N39" s="57"/>
    </row>
    <row r="40" spans="1:22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22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1:22">
      <c r="B42" s="72"/>
      <c r="C42" s="57"/>
      <c r="D42" s="57"/>
      <c r="E42" s="57"/>
      <c r="F42" s="57"/>
      <c r="G42" s="57"/>
      <c r="H42" s="57"/>
      <c r="I42" s="57"/>
      <c r="J42" s="57"/>
      <c r="O42" s="57"/>
      <c r="P42" s="57"/>
      <c r="Q42" s="57"/>
    </row>
    <row r="43" spans="1:22">
      <c r="B43" s="72"/>
      <c r="C43" s="57"/>
      <c r="D43" s="57"/>
      <c r="E43" s="57"/>
      <c r="F43" s="57"/>
      <c r="G43" s="57"/>
      <c r="H43" s="57"/>
      <c r="O43" s="57"/>
      <c r="P43" s="57"/>
      <c r="Q43" s="57"/>
    </row>
    <row r="44" spans="1:22">
      <c r="B44" s="72"/>
      <c r="C44" s="57"/>
      <c r="D44" s="57"/>
      <c r="E44" s="57"/>
      <c r="F44" s="57"/>
      <c r="G44" s="57"/>
      <c r="H44" s="57"/>
    </row>
    <row r="45" spans="1:22">
      <c r="B45" s="72"/>
      <c r="C45" s="57"/>
      <c r="D45" s="57"/>
      <c r="E45" s="57"/>
      <c r="F45" s="57"/>
      <c r="G45" s="57"/>
    </row>
    <row r="46" spans="1:22">
      <c r="B46" s="57"/>
      <c r="C46" s="70"/>
      <c r="D46" s="70"/>
      <c r="E46" s="70"/>
      <c r="F46" s="57"/>
      <c r="G46" s="57"/>
    </row>
    <row r="48" spans="1:22">
      <c r="C48" s="31"/>
      <c r="D48" s="31"/>
    </row>
  </sheetData>
  <mergeCells count="9">
    <mergeCell ref="K25:M25"/>
    <mergeCell ref="B1:C1"/>
    <mergeCell ref="L1:M1"/>
    <mergeCell ref="B2:C2"/>
    <mergeCell ref="V2:Y2"/>
    <mergeCell ref="V3:Y3"/>
    <mergeCell ref="K14:M14"/>
    <mergeCell ref="K15:M15"/>
    <mergeCell ref="K24:M24"/>
  </mergeCells>
  <pageMargins left="0.45" right="0.4" top="1" bottom="0.72" header="0.5" footer="0.5"/>
  <pageSetup paperSize="14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1">
    <tabColor rgb="FF00B050"/>
  </sheetPr>
  <dimension ref="A1"/>
  <sheetViews>
    <sheetView workbookViewId="0">
      <selection activeCell="J34" sqref="J34"/>
    </sheetView>
  </sheetViews>
  <sheetFormatPr defaultRowHeight="15"/>
  <sheetData>
    <row r="1" spans="1:1">
      <c r="A1" t="s">
        <v>121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25">
    <tabColor rgb="FF7030A0"/>
  </sheetPr>
  <dimension ref="A1:WVS48"/>
  <sheetViews>
    <sheetView zoomScale="85" zoomScaleNormal="85" workbookViewId="0">
      <selection activeCell="J49" sqref="J49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5.75" thickBot="1">
      <c r="A1" s="1" t="s">
        <v>0</v>
      </c>
      <c r="B1" s="185" t="s">
        <v>142</v>
      </c>
      <c r="C1" s="127"/>
      <c r="D1" s="1" t="s">
        <v>1</v>
      </c>
      <c r="E1" s="2">
        <v>9</v>
      </c>
      <c r="F1" s="16"/>
      <c r="G1" s="16"/>
      <c r="H1" s="2"/>
      <c r="I1" s="3" t="s">
        <v>2</v>
      </c>
      <c r="J1" s="73"/>
    </row>
    <row r="2" spans="1:20" ht="15">
      <c r="A2" s="1" t="s">
        <v>4</v>
      </c>
      <c r="B2" s="185">
        <v>11208539</v>
      </c>
      <c r="C2" s="128"/>
      <c r="D2" s="1"/>
      <c r="E2" s="6"/>
      <c r="H2" s="6"/>
      <c r="I2" s="3" t="s">
        <v>5</v>
      </c>
      <c r="J2" s="73">
        <v>33927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74" t="s">
        <v>8</v>
      </c>
      <c r="E3" s="11" t="s">
        <v>9</v>
      </c>
      <c r="F3" s="174" t="s">
        <v>9</v>
      </c>
      <c r="G3" s="11" t="s">
        <v>10</v>
      </c>
      <c r="H3" s="11" t="s">
        <v>53</v>
      </c>
      <c r="I3" s="3" t="s">
        <v>11</v>
      </c>
      <c r="J3" s="36">
        <f>J4*9</f>
        <v>41650.019999999997</v>
      </c>
      <c r="K3" s="49"/>
      <c r="L3" s="14">
        <f>-SUM(C30+D30+E30+F30)</f>
        <v>-4564.9470000000001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75" t="s">
        <v>16</v>
      </c>
      <c r="E4" s="13" t="s">
        <v>16</v>
      </c>
      <c r="F4" s="175" t="s">
        <v>16</v>
      </c>
      <c r="G4" s="13" t="s">
        <v>16</v>
      </c>
      <c r="H4" s="13" t="s">
        <v>16</v>
      </c>
      <c r="I4" s="3" t="s">
        <v>17</v>
      </c>
      <c r="J4" s="121">
        <v>4627.78</v>
      </c>
      <c r="K4" s="49"/>
      <c r="L4" s="19">
        <f>SUM(L2:L3)</f>
        <v>53435.053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131</v>
      </c>
      <c r="D5" s="176" t="s">
        <v>127</v>
      </c>
      <c r="E5" s="21" t="s">
        <v>131</v>
      </c>
      <c r="F5" s="176" t="s">
        <v>127</v>
      </c>
      <c r="G5" s="21">
        <v>19500</v>
      </c>
      <c r="H5" s="21">
        <v>19500</v>
      </c>
      <c r="I5" s="3" t="s">
        <v>26</v>
      </c>
      <c r="J5" s="35">
        <f>J4/2</f>
        <v>2313.89</v>
      </c>
      <c r="K5" s="49"/>
      <c r="O5" s="14">
        <f>-D30</f>
        <v>0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177">
        <v>0</v>
      </c>
      <c r="E6" s="26">
        <f>B6*0.075</f>
        <v>0</v>
      </c>
      <c r="F6" s="177"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26000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5" si="0">B7*0.075</f>
        <v>0</v>
      </c>
      <c r="D7" s="177">
        <v>0</v>
      </c>
      <c r="E7" s="26">
        <f t="shared" ref="E7:E25" si="1">B7*0.075</f>
        <v>0</v>
      </c>
      <c r="F7" s="177"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177">
        <v>0</v>
      </c>
      <c r="E8" s="26">
        <f t="shared" si="1"/>
        <v>0</v>
      </c>
      <c r="F8" s="177">
        <v>0</v>
      </c>
      <c r="G8" s="27">
        <v>0</v>
      </c>
      <c r="H8" s="27">
        <v>0</v>
      </c>
      <c r="J8" s="16"/>
      <c r="K8" s="28"/>
      <c r="L8" s="31"/>
      <c r="O8" s="33">
        <f>L4</f>
        <v>53435.053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177">
        <v>0</v>
      </c>
      <c r="E9" s="26">
        <f t="shared" si="1"/>
        <v>0</v>
      </c>
      <c r="F9" s="177"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177">
        <v>0</v>
      </c>
      <c r="E10" s="26">
        <f t="shared" si="1"/>
        <v>0</v>
      </c>
      <c r="F10" s="177"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177">
        <v>0</v>
      </c>
      <c r="E11" s="26">
        <f t="shared" si="1"/>
        <v>0</v>
      </c>
      <c r="F11" s="177"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59935.053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177">
        <v>0</v>
      </c>
      <c r="E12" s="26">
        <f t="shared" si="1"/>
        <v>0</v>
      </c>
      <c r="F12" s="177"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177">
        <v>0</v>
      </c>
      <c r="E13" s="26">
        <f t="shared" si="1"/>
        <v>0</v>
      </c>
      <c r="F13" s="177"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177">
        <v>0</v>
      </c>
      <c r="E14" s="26">
        <f t="shared" si="1"/>
        <v>0</v>
      </c>
      <c r="F14" s="177">
        <v>0</v>
      </c>
      <c r="G14" s="27">
        <v>0</v>
      </c>
      <c r="H14" s="27">
        <v>0</v>
      </c>
      <c r="L14" s="31"/>
      <c r="M14" s="41"/>
      <c r="O14" s="14">
        <f>IF(O11&lt;O6,O11,O6)</f>
        <v>26000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177">
        <v>0</v>
      </c>
      <c r="E15" s="26">
        <f t="shared" si="1"/>
        <v>0</v>
      </c>
      <c r="F15" s="177">
        <v>0</v>
      </c>
      <c r="G15" s="27">
        <v>0</v>
      </c>
      <c r="H15" s="27">
        <v>0</v>
      </c>
      <c r="L15" s="44"/>
      <c r="M15" s="41"/>
      <c r="O15" s="14">
        <f t="shared" ref="O15:O38" si="2">O14-G6</f>
        <v>26000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177">
        <v>0</v>
      </c>
      <c r="E16" s="26">
        <f t="shared" si="1"/>
        <v>0</v>
      </c>
      <c r="F16" s="177"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2"/>
        <v>26000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177">
        <v>0</v>
      </c>
      <c r="E17" s="26">
        <f t="shared" si="1"/>
        <v>0</v>
      </c>
      <c r="F17" s="177">
        <v>0</v>
      </c>
      <c r="G17" s="27">
        <v>0</v>
      </c>
      <c r="H17" s="27">
        <v>0</v>
      </c>
      <c r="L17" s="48"/>
      <c r="M17" s="45"/>
      <c r="N17" s="46"/>
      <c r="O17" s="14">
        <f t="shared" si="2"/>
        <v>26000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177">
        <v>0</v>
      </c>
      <c r="E18" s="26">
        <f t="shared" si="1"/>
        <v>0</v>
      </c>
      <c r="F18" s="177">
        <v>0</v>
      </c>
      <c r="G18" s="27">
        <v>0</v>
      </c>
      <c r="H18" s="27">
        <v>0</v>
      </c>
      <c r="O18" s="14">
        <f t="shared" si="2"/>
        <v>26000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177">
        <v>0</v>
      </c>
      <c r="E19" s="26">
        <f t="shared" si="1"/>
        <v>0</v>
      </c>
      <c r="F19" s="177">
        <v>0</v>
      </c>
      <c r="G19" s="27">
        <v>0</v>
      </c>
      <c r="H19" s="27">
        <v>0</v>
      </c>
      <c r="O19" s="14">
        <f t="shared" si="2"/>
        <v>26000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177">
        <v>0</v>
      </c>
      <c r="E20" s="26">
        <f t="shared" si="1"/>
        <v>0</v>
      </c>
      <c r="F20" s="177">
        <v>0</v>
      </c>
      <c r="G20" s="27">
        <v>0</v>
      </c>
      <c r="H20" s="27">
        <v>0</v>
      </c>
      <c r="I20" s="50"/>
      <c r="J20" s="45"/>
      <c r="K20" s="45"/>
      <c r="O20" s="14">
        <f t="shared" si="2"/>
        <v>26000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177">
        <v>0</v>
      </c>
      <c r="E21" s="26">
        <f t="shared" si="1"/>
        <v>0</v>
      </c>
      <c r="F21" s="177">
        <v>0</v>
      </c>
      <c r="G21" s="27">
        <v>0</v>
      </c>
      <c r="H21" s="27">
        <v>0</v>
      </c>
      <c r="I21" s="50"/>
      <c r="J21" s="51"/>
      <c r="K21" s="45"/>
      <c r="O21" s="14">
        <f t="shared" si="2"/>
        <v>26000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177">
        <v>0</v>
      </c>
      <c r="E22" s="26">
        <f t="shared" si="1"/>
        <v>0</v>
      </c>
      <c r="F22" s="177">
        <v>0</v>
      </c>
      <c r="G22" s="27">
        <v>0</v>
      </c>
      <c r="H22" s="27">
        <v>0</v>
      </c>
      <c r="I22" s="53"/>
      <c r="J22" s="53"/>
      <c r="K22" s="53"/>
      <c r="O22" s="14">
        <f t="shared" si="2"/>
        <v>26000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177">
        <v>0</v>
      </c>
      <c r="E23" s="26">
        <f t="shared" si="1"/>
        <v>0</v>
      </c>
      <c r="F23" s="177">
        <v>0</v>
      </c>
      <c r="G23" s="27">
        <v>0</v>
      </c>
      <c r="H23" s="27">
        <v>0</v>
      </c>
      <c r="I23" s="53"/>
      <c r="J23" s="53"/>
      <c r="K23" s="53"/>
      <c r="O23" s="14">
        <f t="shared" si="2"/>
        <v>26000</v>
      </c>
      <c r="P23" s="23">
        <v>40673</v>
      </c>
      <c r="R23" s="31"/>
      <c r="U23" s="31"/>
    </row>
    <row r="24" spans="1:22">
      <c r="A24" s="23">
        <v>40096</v>
      </c>
      <c r="B24" s="98">
        <v>0</v>
      </c>
      <c r="C24" s="25">
        <f t="shared" si="0"/>
        <v>0</v>
      </c>
      <c r="D24" s="177">
        <v>0</v>
      </c>
      <c r="E24" s="26">
        <f t="shared" si="1"/>
        <v>0</v>
      </c>
      <c r="F24" s="177">
        <v>0</v>
      </c>
      <c r="G24" s="27">
        <v>0</v>
      </c>
      <c r="H24" s="27">
        <v>0</v>
      </c>
      <c r="I24" s="53"/>
      <c r="J24" s="53"/>
      <c r="K24" s="53"/>
      <c r="O24" s="14">
        <f t="shared" si="2"/>
        <v>26000</v>
      </c>
      <c r="P24" s="23">
        <v>40688</v>
      </c>
      <c r="R24" s="31"/>
      <c r="U24" s="31"/>
    </row>
    <row r="25" spans="1:22">
      <c r="A25" s="23">
        <v>40111</v>
      </c>
      <c r="B25" s="98">
        <v>0</v>
      </c>
      <c r="C25" s="25">
        <f t="shared" si="0"/>
        <v>0</v>
      </c>
      <c r="D25" s="177">
        <v>0</v>
      </c>
      <c r="E25" s="26">
        <f t="shared" si="1"/>
        <v>0</v>
      </c>
      <c r="F25" s="177">
        <v>0</v>
      </c>
      <c r="G25" s="27">
        <v>0</v>
      </c>
      <c r="H25" s="27">
        <v>0</v>
      </c>
      <c r="I25" s="54"/>
      <c r="J25" s="55"/>
      <c r="K25" s="54"/>
      <c r="O25" s="14">
        <f t="shared" si="2"/>
        <v>26000</v>
      </c>
      <c r="P25" s="23">
        <v>40704</v>
      </c>
      <c r="R25" s="31"/>
    </row>
    <row r="26" spans="1:22" ht="15">
      <c r="A26" s="23">
        <v>40127</v>
      </c>
      <c r="B26" s="182">
        <v>39208.39</v>
      </c>
      <c r="C26" s="183">
        <v>1935.39</v>
      </c>
      <c r="D26" s="184">
        <v>0</v>
      </c>
      <c r="E26" s="183">
        <v>1935.39</v>
      </c>
      <c r="F26" s="184">
        <v>0</v>
      </c>
      <c r="G26" s="27">
        <v>0</v>
      </c>
      <c r="H26" s="27">
        <v>0</v>
      </c>
      <c r="I26" s="50"/>
      <c r="J26" s="45"/>
      <c r="K26" s="45"/>
      <c r="O26" s="14">
        <f t="shared" si="2"/>
        <v>26000</v>
      </c>
      <c r="P26" s="23">
        <v>40719</v>
      </c>
      <c r="R26" s="31"/>
    </row>
    <row r="27" spans="1:22" ht="15" customHeight="1">
      <c r="A27" s="23">
        <v>40142</v>
      </c>
      <c r="B27" s="98">
        <f>$J$5</f>
        <v>2313.89</v>
      </c>
      <c r="C27" s="184">
        <f>($J$5*0.05)</f>
        <v>115.69450000000001</v>
      </c>
      <c r="D27" s="177">
        <v>0</v>
      </c>
      <c r="E27" s="184">
        <f>($J$5*0.05)</f>
        <v>115.69450000000001</v>
      </c>
      <c r="F27" s="177">
        <v>0</v>
      </c>
      <c r="G27" s="27">
        <v>0</v>
      </c>
      <c r="H27" s="27">
        <v>0</v>
      </c>
      <c r="I27" s="56"/>
      <c r="J27" s="56"/>
      <c r="K27" s="56"/>
      <c r="O27" s="14">
        <f t="shared" si="2"/>
        <v>26000</v>
      </c>
      <c r="P27" s="23">
        <v>40369</v>
      </c>
      <c r="R27" s="31"/>
    </row>
    <row r="28" spans="1:22" ht="15">
      <c r="A28" s="23">
        <v>40157</v>
      </c>
      <c r="B28" s="98">
        <f>$J$5</f>
        <v>2313.89</v>
      </c>
      <c r="C28" s="184">
        <f>($J$5*0.05)</f>
        <v>115.69450000000001</v>
      </c>
      <c r="D28" s="177">
        <v>0</v>
      </c>
      <c r="E28" s="184">
        <f>($J$5*0.05)</f>
        <v>115.69450000000001</v>
      </c>
      <c r="F28" s="177">
        <v>0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2"/>
        <v>26000</v>
      </c>
      <c r="P28" s="23">
        <v>40384</v>
      </c>
      <c r="R28" s="89"/>
    </row>
    <row r="29" spans="1:22" ht="15.75" thickBot="1">
      <c r="A29" s="23">
        <v>39441</v>
      </c>
      <c r="B29" s="98">
        <f>$J$5</f>
        <v>2313.89</v>
      </c>
      <c r="C29" s="184">
        <f>($J$5*0.05)</f>
        <v>115.69450000000001</v>
      </c>
      <c r="D29" s="177">
        <v>0</v>
      </c>
      <c r="E29" s="184">
        <f>($J$5*0.05)</f>
        <v>115.69450000000001</v>
      </c>
      <c r="F29" s="180">
        <v>0</v>
      </c>
      <c r="G29" s="27">
        <v>0</v>
      </c>
      <c r="H29" s="27">
        <v>0</v>
      </c>
      <c r="I29" s="56"/>
      <c r="J29" s="56"/>
      <c r="K29" s="56"/>
      <c r="O29" s="14">
        <f t="shared" si="2"/>
        <v>26000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3">SUM(B6:B29)</f>
        <v>46150.06</v>
      </c>
      <c r="C30" s="59">
        <f t="shared" si="3"/>
        <v>2282.4735000000001</v>
      </c>
      <c r="D30" s="178">
        <f t="shared" si="3"/>
        <v>0</v>
      </c>
      <c r="E30" s="94">
        <f t="shared" si="3"/>
        <v>2282.4735000000001</v>
      </c>
      <c r="F30" s="178">
        <f t="shared" si="3"/>
        <v>0</v>
      </c>
      <c r="G30" s="59">
        <f t="shared" si="3"/>
        <v>0</v>
      </c>
      <c r="H30" s="59">
        <f t="shared" si="3"/>
        <v>0</v>
      </c>
      <c r="I30" s="44"/>
      <c r="J30" s="132"/>
      <c r="K30" s="44"/>
      <c r="O30" s="14">
        <f t="shared" si="2"/>
        <v>26000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B30*0.05</f>
        <v>2307.5030000000002</v>
      </c>
      <c r="D31" s="179">
        <v>0</v>
      </c>
      <c r="E31" s="64">
        <f>B30*0.05</f>
        <v>2307.5030000000002</v>
      </c>
      <c r="F31" s="181">
        <v>0</v>
      </c>
      <c r="G31" s="65"/>
      <c r="H31" s="65"/>
      <c r="I31" s="44"/>
      <c r="J31" s="132"/>
      <c r="K31" s="44"/>
      <c r="O31" s="14">
        <f t="shared" si="2"/>
        <v>26000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-25.029500000000098</v>
      </c>
      <c r="D32" s="70">
        <f>D30-D31</f>
        <v>0</v>
      </c>
      <c r="E32" s="31">
        <f>E30-E31</f>
        <v>-25.029500000000098</v>
      </c>
      <c r="F32" s="70">
        <f>F30-F31</f>
        <v>0</v>
      </c>
      <c r="G32" s="45"/>
      <c r="H32" s="45"/>
      <c r="I32" s="57"/>
      <c r="J32" s="57"/>
      <c r="K32" s="57"/>
      <c r="O32" s="14">
        <f t="shared" si="2"/>
        <v>26000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2"/>
        <v>26000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2"/>
        <v>26000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2"/>
        <v>26000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2"/>
        <v>26000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2"/>
        <v>26000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2"/>
        <v>26000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pageMargins left="0.45" right="0.4" top="1" bottom="0.72" header="0.5" footer="0.5"/>
  <pageSetup paperSize="144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421">
    <tabColor rgb="FF7030A0"/>
  </sheetPr>
  <dimension ref="A1:WVV47"/>
  <sheetViews>
    <sheetView zoomScale="85" zoomScaleNormal="85" workbookViewId="0">
      <selection activeCell="I1" sqref="I1:I5"/>
    </sheetView>
  </sheetViews>
  <sheetFormatPr defaultRowHeight="12.75"/>
  <cols>
    <col min="1" max="1" width="10.42578125" style="5" bestFit="1" customWidth="1"/>
    <col min="2" max="2" width="13.42578125" style="5" customWidth="1"/>
    <col min="3" max="4" width="12.42578125" style="5" customWidth="1"/>
    <col min="5" max="5" width="12.5703125" style="5" customWidth="1"/>
    <col min="6" max="8" width="13" style="5" customWidth="1"/>
    <col min="9" max="9" width="20.7109375" style="5" customWidth="1"/>
    <col min="10" max="10" width="14.7109375" style="5" customWidth="1"/>
    <col min="11" max="11" width="12.7109375" style="5" hidden="1" customWidth="1"/>
    <col min="12" max="13" width="17.7109375" style="5" hidden="1" customWidth="1"/>
    <col min="14" max="14" width="9.28515625" style="5" hidden="1" customWidth="1"/>
    <col min="15" max="18" width="11.28515625" style="5" customWidth="1"/>
    <col min="19" max="19" width="19.7109375" style="5" customWidth="1"/>
    <col min="20" max="20" width="9.140625" style="5"/>
    <col min="21" max="21" width="9.42578125" style="5" bestFit="1" customWidth="1"/>
    <col min="22" max="258" width="9.140625" style="5"/>
    <col min="259" max="259" width="10.42578125" style="5" bestFit="1" customWidth="1"/>
    <col min="260" max="260" width="13.42578125" style="5" customWidth="1"/>
    <col min="261" max="261" width="12.42578125" style="5" customWidth="1"/>
    <col min="262" max="262" width="12.5703125" style="5" customWidth="1"/>
    <col min="263" max="265" width="13" style="5" customWidth="1"/>
    <col min="266" max="266" width="14.7109375" style="5" customWidth="1"/>
    <col min="267" max="270" width="9.28515625" style="5" hidden="1" customWidth="1"/>
    <col min="271" max="274" width="11.28515625" style="5" customWidth="1"/>
    <col min="275" max="275" width="19.7109375" style="5" customWidth="1"/>
    <col min="276" max="514" width="9.140625" style="5"/>
    <col min="515" max="515" width="10.42578125" style="5" bestFit="1" customWidth="1"/>
    <col min="516" max="516" width="13.42578125" style="5" customWidth="1"/>
    <col min="517" max="517" width="12.42578125" style="5" customWidth="1"/>
    <col min="518" max="518" width="12.5703125" style="5" customWidth="1"/>
    <col min="519" max="521" width="13" style="5" customWidth="1"/>
    <col min="522" max="522" width="14.7109375" style="5" customWidth="1"/>
    <col min="523" max="526" width="9.28515625" style="5" hidden="1" customWidth="1"/>
    <col min="527" max="530" width="11.28515625" style="5" customWidth="1"/>
    <col min="531" max="531" width="19.7109375" style="5" customWidth="1"/>
    <col min="532" max="770" width="9.140625" style="5"/>
    <col min="771" max="771" width="10.42578125" style="5" bestFit="1" customWidth="1"/>
    <col min="772" max="772" width="13.42578125" style="5" customWidth="1"/>
    <col min="773" max="773" width="12.42578125" style="5" customWidth="1"/>
    <col min="774" max="774" width="12.5703125" style="5" customWidth="1"/>
    <col min="775" max="777" width="13" style="5" customWidth="1"/>
    <col min="778" max="778" width="14.7109375" style="5" customWidth="1"/>
    <col min="779" max="782" width="9.28515625" style="5" hidden="1" customWidth="1"/>
    <col min="783" max="786" width="11.28515625" style="5" customWidth="1"/>
    <col min="787" max="787" width="19.7109375" style="5" customWidth="1"/>
    <col min="788" max="1026" width="9.140625" style="5"/>
    <col min="1027" max="1027" width="10.42578125" style="5" bestFit="1" customWidth="1"/>
    <col min="1028" max="1028" width="13.42578125" style="5" customWidth="1"/>
    <col min="1029" max="1029" width="12.42578125" style="5" customWidth="1"/>
    <col min="1030" max="1030" width="12.5703125" style="5" customWidth="1"/>
    <col min="1031" max="1033" width="13" style="5" customWidth="1"/>
    <col min="1034" max="1034" width="14.7109375" style="5" customWidth="1"/>
    <col min="1035" max="1038" width="9.28515625" style="5" hidden="1" customWidth="1"/>
    <col min="1039" max="1042" width="11.28515625" style="5" customWidth="1"/>
    <col min="1043" max="1043" width="19.7109375" style="5" customWidth="1"/>
    <col min="1044" max="1282" width="9.140625" style="5"/>
    <col min="1283" max="1283" width="10.42578125" style="5" bestFit="1" customWidth="1"/>
    <col min="1284" max="1284" width="13.42578125" style="5" customWidth="1"/>
    <col min="1285" max="1285" width="12.42578125" style="5" customWidth="1"/>
    <col min="1286" max="1286" width="12.5703125" style="5" customWidth="1"/>
    <col min="1287" max="1289" width="13" style="5" customWidth="1"/>
    <col min="1290" max="1290" width="14.7109375" style="5" customWidth="1"/>
    <col min="1291" max="1294" width="9.28515625" style="5" hidden="1" customWidth="1"/>
    <col min="1295" max="1298" width="11.28515625" style="5" customWidth="1"/>
    <col min="1299" max="1299" width="19.7109375" style="5" customWidth="1"/>
    <col min="1300" max="1538" width="9.140625" style="5"/>
    <col min="1539" max="1539" width="10.42578125" style="5" bestFit="1" customWidth="1"/>
    <col min="1540" max="1540" width="13.42578125" style="5" customWidth="1"/>
    <col min="1541" max="1541" width="12.42578125" style="5" customWidth="1"/>
    <col min="1542" max="1542" width="12.5703125" style="5" customWidth="1"/>
    <col min="1543" max="1545" width="13" style="5" customWidth="1"/>
    <col min="1546" max="1546" width="14.7109375" style="5" customWidth="1"/>
    <col min="1547" max="1550" width="9.28515625" style="5" hidden="1" customWidth="1"/>
    <col min="1551" max="1554" width="11.28515625" style="5" customWidth="1"/>
    <col min="1555" max="1555" width="19.7109375" style="5" customWidth="1"/>
    <col min="1556" max="1794" width="9.140625" style="5"/>
    <col min="1795" max="1795" width="10.42578125" style="5" bestFit="1" customWidth="1"/>
    <col min="1796" max="1796" width="13.42578125" style="5" customWidth="1"/>
    <col min="1797" max="1797" width="12.42578125" style="5" customWidth="1"/>
    <col min="1798" max="1798" width="12.5703125" style="5" customWidth="1"/>
    <col min="1799" max="1801" width="13" style="5" customWidth="1"/>
    <col min="1802" max="1802" width="14.7109375" style="5" customWidth="1"/>
    <col min="1803" max="1806" width="9.28515625" style="5" hidden="1" customWidth="1"/>
    <col min="1807" max="1810" width="11.28515625" style="5" customWidth="1"/>
    <col min="1811" max="1811" width="19.7109375" style="5" customWidth="1"/>
    <col min="1812" max="2050" width="9.140625" style="5"/>
    <col min="2051" max="2051" width="10.42578125" style="5" bestFit="1" customWidth="1"/>
    <col min="2052" max="2052" width="13.42578125" style="5" customWidth="1"/>
    <col min="2053" max="2053" width="12.42578125" style="5" customWidth="1"/>
    <col min="2054" max="2054" width="12.5703125" style="5" customWidth="1"/>
    <col min="2055" max="2057" width="13" style="5" customWidth="1"/>
    <col min="2058" max="2058" width="14.7109375" style="5" customWidth="1"/>
    <col min="2059" max="2062" width="9.28515625" style="5" hidden="1" customWidth="1"/>
    <col min="2063" max="2066" width="11.28515625" style="5" customWidth="1"/>
    <col min="2067" max="2067" width="19.7109375" style="5" customWidth="1"/>
    <col min="2068" max="2306" width="9.140625" style="5"/>
    <col min="2307" max="2307" width="10.42578125" style="5" bestFit="1" customWidth="1"/>
    <col min="2308" max="2308" width="13.42578125" style="5" customWidth="1"/>
    <col min="2309" max="2309" width="12.42578125" style="5" customWidth="1"/>
    <col min="2310" max="2310" width="12.5703125" style="5" customWidth="1"/>
    <col min="2311" max="2313" width="13" style="5" customWidth="1"/>
    <col min="2314" max="2314" width="14.7109375" style="5" customWidth="1"/>
    <col min="2315" max="2318" width="9.28515625" style="5" hidden="1" customWidth="1"/>
    <col min="2319" max="2322" width="11.28515625" style="5" customWidth="1"/>
    <col min="2323" max="2323" width="19.7109375" style="5" customWidth="1"/>
    <col min="2324" max="2562" width="9.140625" style="5"/>
    <col min="2563" max="2563" width="10.42578125" style="5" bestFit="1" customWidth="1"/>
    <col min="2564" max="2564" width="13.42578125" style="5" customWidth="1"/>
    <col min="2565" max="2565" width="12.42578125" style="5" customWidth="1"/>
    <col min="2566" max="2566" width="12.5703125" style="5" customWidth="1"/>
    <col min="2567" max="2569" width="13" style="5" customWidth="1"/>
    <col min="2570" max="2570" width="14.7109375" style="5" customWidth="1"/>
    <col min="2571" max="2574" width="9.28515625" style="5" hidden="1" customWidth="1"/>
    <col min="2575" max="2578" width="11.28515625" style="5" customWidth="1"/>
    <col min="2579" max="2579" width="19.7109375" style="5" customWidth="1"/>
    <col min="2580" max="2818" width="9.140625" style="5"/>
    <col min="2819" max="2819" width="10.42578125" style="5" bestFit="1" customWidth="1"/>
    <col min="2820" max="2820" width="13.42578125" style="5" customWidth="1"/>
    <col min="2821" max="2821" width="12.42578125" style="5" customWidth="1"/>
    <col min="2822" max="2822" width="12.5703125" style="5" customWidth="1"/>
    <col min="2823" max="2825" width="13" style="5" customWidth="1"/>
    <col min="2826" max="2826" width="14.7109375" style="5" customWidth="1"/>
    <col min="2827" max="2830" width="9.28515625" style="5" hidden="1" customWidth="1"/>
    <col min="2831" max="2834" width="11.28515625" style="5" customWidth="1"/>
    <col min="2835" max="2835" width="19.7109375" style="5" customWidth="1"/>
    <col min="2836" max="3074" width="9.140625" style="5"/>
    <col min="3075" max="3075" width="10.42578125" style="5" bestFit="1" customWidth="1"/>
    <col min="3076" max="3076" width="13.42578125" style="5" customWidth="1"/>
    <col min="3077" max="3077" width="12.42578125" style="5" customWidth="1"/>
    <col min="3078" max="3078" width="12.5703125" style="5" customWidth="1"/>
    <col min="3079" max="3081" width="13" style="5" customWidth="1"/>
    <col min="3082" max="3082" width="14.7109375" style="5" customWidth="1"/>
    <col min="3083" max="3086" width="9.28515625" style="5" hidden="1" customWidth="1"/>
    <col min="3087" max="3090" width="11.28515625" style="5" customWidth="1"/>
    <col min="3091" max="3091" width="19.7109375" style="5" customWidth="1"/>
    <col min="3092" max="3330" width="9.140625" style="5"/>
    <col min="3331" max="3331" width="10.42578125" style="5" bestFit="1" customWidth="1"/>
    <col min="3332" max="3332" width="13.42578125" style="5" customWidth="1"/>
    <col min="3333" max="3333" width="12.42578125" style="5" customWidth="1"/>
    <col min="3334" max="3334" width="12.5703125" style="5" customWidth="1"/>
    <col min="3335" max="3337" width="13" style="5" customWidth="1"/>
    <col min="3338" max="3338" width="14.7109375" style="5" customWidth="1"/>
    <col min="3339" max="3342" width="9.28515625" style="5" hidden="1" customWidth="1"/>
    <col min="3343" max="3346" width="11.28515625" style="5" customWidth="1"/>
    <col min="3347" max="3347" width="19.7109375" style="5" customWidth="1"/>
    <col min="3348" max="3586" width="9.140625" style="5"/>
    <col min="3587" max="3587" width="10.42578125" style="5" bestFit="1" customWidth="1"/>
    <col min="3588" max="3588" width="13.42578125" style="5" customWidth="1"/>
    <col min="3589" max="3589" width="12.42578125" style="5" customWidth="1"/>
    <col min="3590" max="3590" width="12.5703125" style="5" customWidth="1"/>
    <col min="3591" max="3593" width="13" style="5" customWidth="1"/>
    <col min="3594" max="3594" width="14.7109375" style="5" customWidth="1"/>
    <col min="3595" max="3598" width="9.28515625" style="5" hidden="1" customWidth="1"/>
    <col min="3599" max="3602" width="11.28515625" style="5" customWidth="1"/>
    <col min="3603" max="3603" width="19.7109375" style="5" customWidth="1"/>
    <col min="3604" max="3842" width="9.140625" style="5"/>
    <col min="3843" max="3843" width="10.42578125" style="5" bestFit="1" customWidth="1"/>
    <col min="3844" max="3844" width="13.42578125" style="5" customWidth="1"/>
    <col min="3845" max="3845" width="12.42578125" style="5" customWidth="1"/>
    <col min="3846" max="3846" width="12.5703125" style="5" customWidth="1"/>
    <col min="3847" max="3849" width="13" style="5" customWidth="1"/>
    <col min="3850" max="3850" width="14.7109375" style="5" customWidth="1"/>
    <col min="3851" max="3854" width="9.28515625" style="5" hidden="1" customWidth="1"/>
    <col min="3855" max="3858" width="11.28515625" style="5" customWidth="1"/>
    <col min="3859" max="3859" width="19.7109375" style="5" customWidth="1"/>
    <col min="3860" max="4098" width="9.140625" style="5"/>
    <col min="4099" max="4099" width="10.42578125" style="5" bestFit="1" customWidth="1"/>
    <col min="4100" max="4100" width="13.42578125" style="5" customWidth="1"/>
    <col min="4101" max="4101" width="12.42578125" style="5" customWidth="1"/>
    <col min="4102" max="4102" width="12.5703125" style="5" customWidth="1"/>
    <col min="4103" max="4105" width="13" style="5" customWidth="1"/>
    <col min="4106" max="4106" width="14.7109375" style="5" customWidth="1"/>
    <col min="4107" max="4110" width="9.28515625" style="5" hidden="1" customWidth="1"/>
    <col min="4111" max="4114" width="11.28515625" style="5" customWidth="1"/>
    <col min="4115" max="4115" width="19.7109375" style="5" customWidth="1"/>
    <col min="4116" max="4354" width="9.140625" style="5"/>
    <col min="4355" max="4355" width="10.42578125" style="5" bestFit="1" customWidth="1"/>
    <col min="4356" max="4356" width="13.42578125" style="5" customWidth="1"/>
    <col min="4357" max="4357" width="12.42578125" style="5" customWidth="1"/>
    <col min="4358" max="4358" width="12.5703125" style="5" customWidth="1"/>
    <col min="4359" max="4361" width="13" style="5" customWidth="1"/>
    <col min="4362" max="4362" width="14.7109375" style="5" customWidth="1"/>
    <col min="4363" max="4366" width="9.28515625" style="5" hidden="1" customWidth="1"/>
    <col min="4367" max="4370" width="11.28515625" style="5" customWidth="1"/>
    <col min="4371" max="4371" width="19.7109375" style="5" customWidth="1"/>
    <col min="4372" max="4610" width="9.140625" style="5"/>
    <col min="4611" max="4611" width="10.42578125" style="5" bestFit="1" customWidth="1"/>
    <col min="4612" max="4612" width="13.42578125" style="5" customWidth="1"/>
    <col min="4613" max="4613" width="12.42578125" style="5" customWidth="1"/>
    <col min="4614" max="4614" width="12.5703125" style="5" customWidth="1"/>
    <col min="4615" max="4617" width="13" style="5" customWidth="1"/>
    <col min="4618" max="4618" width="14.7109375" style="5" customWidth="1"/>
    <col min="4619" max="4622" width="9.28515625" style="5" hidden="1" customWidth="1"/>
    <col min="4623" max="4626" width="11.28515625" style="5" customWidth="1"/>
    <col min="4627" max="4627" width="19.7109375" style="5" customWidth="1"/>
    <col min="4628" max="4866" width="9.140625" style="5"/>
    <col min="4867" max="4867" width="10.42578125" style="5" bestFit="1" customWidth="1"/>
    <col min="4868" max="4868" width="13.42578125" style="5" customWidth="1"/>
    <col min="4869" max="4869" width="12.42578125" style="5" customWidth="1"/>
    <col min="4870" max="4870" width="12.5703125" style="5" customWidth="1"/>
    <col min="4871" max="4873" width="13" style="5" customWidth="1"/>
    <col min="4874" max="4874" width="14.7109375" style="5" customWidth="1"/>
    <col min="4875" max="4878" width="9.28515625" style="5" hidden="1" customWidth="1"/>
    <col min="4879" max="4882" width="11.28515625" style="5" customWidth="1"/>
    <col min="4883" max="4883" width="19.7109375" style="5" customWidth="1"/>
    <col min="4884" max="5122" width="9.140625" style="5"/>
    <col min="5123" max="5123" width="10.42578125" style="5" bestFit="1" customWidth="1"/>
    <col min="5124" max="5124" width="13.42578125" style="5" customWidth="1"/>
    <col min="5125" max="5125" width="12.42578125" style="5" customWidth="1"/>
    <col min="5126" max="5126" width="12.5703125" style="5" customWidth="1"/>
    <col min="5127" max="5129" width="13" style="5" customWidth="1"/>
    <col min="5130" max="5130" width="14.7109375" style="5" customWidth="1"/>
    <col min="5131" max="5134" width="9.28515625" style="5" hidden="1" customWidth="1"/>
    <col min="5135" max="5138" width="11.28515625" style="5" customWidth="1"/>
    <col min="5139" max="5139" width="19.7109375" style="5" customWidth="1"/>
    <col min="5140" max="5378" width="9.140625" style="5"/>
    <col min="5379" max="5379" width="10.42578125" style="5" bestFit="1" customWidth="1"/>
    <col min="5380" max="5380" width="13.42578125" style="5" customWidth="1"/>
    <col min="5381" max="5381" width="12.42578125" style="5" customWidth="1"/>
    <col min="5382" max="5382" width="12.5703125" style="5" customWidth="1"/>
    <col min="5383" max="5385" width="13" style="5" customWidth="1"/>
    <col min="5386" max="5386" width="14.7109375" style="5" customWidth="1"/>
    <col min="5387" max="5390" width="9.28515625" style="5" hidden="1" customWidth="1"/>
    <col min="5391" max="5394" width="11.28515625" style="5" customWidth="1"/>
    <col min="5395" max="5395" width="19.7109375" style="5" customWidth="1"/>
    <col min="5396" max="5634" width="9.140625" style="5"/>
    <col min="5635" max="5635" width="10.42578125" style="5" bestFit="1" customWidth="1"/>
    <col min="5636" max="5636" width="13.42578125" style="5" customWidth="1"/>
    <col min="5637" max="5637" width="12.42578125" style="5" customWidth="1"/>
    <col min="5638" max="5638" width="12.5703125" style="5" customWidth="1"/>
    <col min="5639" max="5641" width="13" style="5" customWidth="1"/>
    <col min="5642" max="5642" width="14.7109375" style="5" customWidth="1"/>
    <col min="5643" max="5646" width="9.28515625" style="5" hidden="1" customWidth="1"/>
    <col min="5647" max="5650" width="11.28515625" style="5" customWidth="1"/>
    <col min="5651" max="5651" width="19.7109375" style="5" customWidth="1"/>
    <col min="5652" max="5890" width="9.140625" style="5"/>
    <col min="5891" max="5891" width="10.42578125" style="5" bestFit="1" customWidth="1"/>
    <col min="5892" max="5892" width="13.42578125" style="5" customWidth="1"/>
    <col min="5893" max="5893" width="12.42578125" style="5" customWidth="1"/>
    <col min="5894" max="5894" width="12.5703125" style="5" customWidth="1"/>
    <col min="5895" max="5897" width="13" style="5" customWidth="1"/>
    <col min="5898" max="5898" width="14.7109375" style="5" customWidth="1"/>
    <col min="5899" max="5902" width="9.28515625" style="5" hidden="1" customWidth="1"/>
    <col min="5903" max="5906" width="11.28515625" style="5" customWidth="1"/>
    <col min="5907" max="5907" width="19.7109375" style="5" customWidth="1"/>
    <col min="5908" max="6146" width="9.140625" style="5"/>
    <col min="6147" max="6147" width="10.42578125" style="5" bestFit="1" customWidth="1"/>
    <col min="6148" max="6148" width="13.42578125" style="5" customWidth="1"/>
    <col min="6149" max="6149" width="12.42578125" style="5" customWidth="1"/>
    <col min="6150" max="6150" width="12.5703125" style="5" customWidth="1"/>
    <col min="6151" max="6153" width="13" style="5" customWidth="1"/>
    <col min="6154" max="6154" width="14.7109375" style="5" customWidth="1"/>
    <col min="6155" max="6158" width="9.28515625" style="5" hidden="1" customWidth="1"/>
    <col min="6159" max="6162" width="11.28515625" style="5" customWidth="1"/>
    <col min="6163" max="6163" width="19.7109375" style="5" customWidth="1"/>
    <col min="6164" max="6402" width="9.140625" style="5"/>
    <col min="6403" max="6403" width="10.42578125" style="5" bestFit="1" customWidth="1"/>
    <col min="6404" max="6404" width="13.42578125" style="5" customWidth="1"/>
    <col min="6405" max="6405" width="12.42578125" style="5" customWidth="1"/>
    <col min="6406" max="6406" width="12.5703125" style="5" customWidth="1"/>
    <col min="6407" max="6409" width="13" style="5" customWidth="1"/>
    <col min="6410" max="6410" width="14.7109375" style="5" customWidth="1"/>
    <col min="6411" max="6414" width="9.28515625" style="5" hidden="1" customWidth="1"/>
    <col min="6415" max="6418" width="11.28515625" style="5" customWidth="1"/>
    <col min="6419" max="6419" width="19.7109375" style="5" customWidth="1"/>
    <col min="6420" max="6658" width="9.140625" style="5"/>
    <col min="6659" max="6659" width="10.42578125" style="5" bestFit="1" customWidth="1"/>
    <col min="6660" max="6660" width="13.42578125" style="5" customWidth="1"/>
    <col min="6661" max="6661" width="12.42578125" style="5" customWidth="1"/>
    <col min="6662" max="6662" width="12.5703125" style="5" customWidth="1"/>
    <col min="6663" max="6665" width="13" style="5" customWidth="1"/>
    <col min="6666" max="6666" width="14.7109375" style="5" customWidth="1"/>
    <col min="6667" max="6670" width="9.28515625" style="5" hidden="1" customWidth="1"/>
    <col min="6671" max="6674" width="11.28515625" style="5" customWidth="1"/>
    <col min="6675" max="6675" width="19.7109375" style="5" customWidth="1"/>
    <col min="6676" max="6914" width="9.140625" style="5"/>
    <col min="6915" max="6915" width="10.42578125" style="5" bestFit="1" customWidth="1"/>
    <col min="6916" max="6916" width="13.42578125" style="5" customWidth="1"/>
    <col min="6917" max="6917" width="12.42578125" style="5" customWidth="1"/>
    <col min="6918" max="6918" width="12.5703125" style="5" customWidth="1"/>
    <col min="6919" max="6921" width="13" style="5" customWidth="1"/>
    <col min="6922" max="6922" width="14.7109375" style="5" customWidth="1"/>
    <col min="6923" max="6926" width="9.28515625" style="5" hidden="1" customWidth="1"/>
    <col min="6927" max="6930" width="11.28515625" style="5" customWidth="1"/>
    <col min="6931" max="6931" width="19.7109375" style="5" customWidth="1"/>
    <col min="6932" max="7170" width="9.140625" style="5"/>
    <col min="7171" max="7171" width="10.42578125" style="5" bestFit="1" customWidth="1"/>
    <col min="7172" max="7172" width="13.42578125" style="5" customWidth="1"/>
    <col min="7173" max="7173" width="12.42578125" style="5" customWidth="1"/>
    <col min="7174" max="7174" width="12.5703125" style="5" customWidth="1"/>
    <col min="7175" max="7177" width="13" style="5" customWidth="1"/>
    <col min="7178" max="7178" width="14.7109375" style="5" customWidth="1"/>
    <col min="7179" max="7182" width="9.28515625" style="5" hidden="1" customWidth="1"/>
    <col min="7183" max="7186" width="11.28515625" style="5" customWidth="1"/>
    <col min="7187" max="7187" width="19.7109375" style="5" customWidth="1"/>
    <col min="7188" max="7426" width="9.140625" style="5"/>
    <col min="7427" max="7427" width="10.42578125" style="5" bestFit="1" customWidth="1"/>
    <col min="7428" max="7428" width="13.42578125" style="5" customWidth="1"/>
    <col min="7429" max="7429" width="12.42578125" style="5" customWidth="1"/>
    <col min="7430" max="7430" width="12.5703125" style="5" customWidth="1"/>
    <col min="7431" max="7433" width="13" style="5" customWidth="1"/>
    <col min="7434" max="7434" width="14.7109375" style="5" customWidth="1"/>
    <col min="7435" max="7438" width="9.28515625" style="5" hidden="1" customWidth="1"/>
    <col min="7439" max="7442" width="11.28515625" style="5" customWidth="1"/>
    <col min="7443" max="7443" width="19.7109375" style="5" customWidth="1"/>
    <col min="7444" max="7682" width="9.140625" style="5"/>
    <col min="7683" max="7683" width="10.42578125" style="5" bestFit="1" customWidth="1"/>
    <col min="7684" max="7684" width="13.42578125" style="5" customWidth="1"/>
    <col min="7685" max="7685" width="12.42578125" style="5" customWidth="1"/>
    <col min="7686" max="7686" width="12.5703125" style="5" customWidth="1"/>
    <col min="7687" max="7689" width="13" style="5" customWidth="1"/>
    <col min="7690" max="7690" width="14.7109375" style="5" customWidth="1"/>
    <col min="7691" max="7694" width="9.28515625" style="5" hidden="1" customWidth="1"/>
    <col min="7695" max="7698" width="11.28515625" style="5" customWidth="1"/>
    <col min="7699" max="7699" width="19.7109375" style="5" customWidth="1"/>
    <col min="7700" max="7938" width="9.140625" style="5"/>
    <col min="7939" max="7939" width="10.42578125" style="5" bestFit="1" customWidth="1"/>
    <col min="7940" max="7940" width="13.42578125" style="5" customWidth="1"/>
    <col min="7941" max="7941" width="12.42578125" style="5" customWidth="1"/>
    <col min="7942" max="7942" width="12.5703125" style="5" customWidth="1"/>
    <col min="7943" max="7945" width="13" style="5" customWidth="1"/>
    <col min="7946" max="7946" width="14.7109375" style="5" customWidth="1"/>
    <col min="7947" max="7950" width="9.28515625" style="5" hidden="1" customWidth="1"/>
    <col min="7951" max="7954" width="11.28515625" style="5" customWidth="1"/>
    <col min="7955" max="7955" width="19.7109375" style="5" customWidth="1"/>
    <col min="7956" max="8194" width="9.140625" style="5"/>
    <col min="8195" max="8195" width="10.42578125" style="5" bestFit="1" customWidth="1"/>
    <col min="8196" max="8196" width="13.42578125" style="5" customWidth="1"/>
    <col min="8197" max="8197" width="12.42578125" style="5" customWidth="1"/>
    <col min="8198" max="8198" width="12.5703125" style="5" customWidth="1"/>
    <col min="8199" max="8201" width="13" style="5" customWidth="1"/>
    <col min="8202" max="8202" width="14.7109375" style="5" customWidth="1"/>
    <col min="8203" max="8206" width="9.28515625" style="5" hidden="1" customWidth="1"/>
    <col min="8207" max="8210" width="11.28515625" style="5" customWidth="1"/>
    <col min="8211" max="8211" width="19.7109375" style="5" customWidth="1"/>
    <col min="8212" max="8450" width="9.140625" style="5"/>
    <col min="8451" max="8451" width="10.42578125" style="5" bestFit="1" customWidth="1"/>
    <col min="8452" max="8452" width="13.42578125" style="5" customWidth="1"/>
    <col min="8453" max="8453" width="12.42578125" style="5" customWidth="1"/>
    <col min="8454" max="8454" width="12.5703125" style="5" customWidth="1"/>
    <col min="8455" max="8457" width="13" style="5" customWidth="1"/>
    <col min="8458" max="8458" width="14.7109375" style="5" customWidth="1"/>
    <col min="8459" max="8462" width="9.28515625" style="5" hidden="1" customWidth="1"/>
    <col min="8463" max="8466" width="11.28515625" style="5" customWidth="1"/>
    <col min="8467" max="8467" width="19.7109375" style="5" customWidth="1"/>
    <col min="8468" max="8706" width="9.140625" style="5"/>
    <col min="8707" max="8707" width="10.42578125" style="5" bestFit="1" customWidth="1"/>
    <col min="8708" max="8708" width="13.42578125" style="5" customWidth="1"/>
    <col min="8709" max="8709" width="12.42578125" style="5" customWidth="1"/>
    <col min="8710" max="8710" width="12.5703125" style="5" customWidth="1"/>
    <col min="8711" max="8713" width="13" style="5" customWidth="1"/>
    <col min="8714" max="8714" width="14.7109375" style="5" customWidth="1"/>
    <col min="8715" max="8718" width="9.28515625" style="5" hidden="1" customWidth="1"/>
    <col min="8719" max="8722" width="11.28515625" style="5" customWidth="1"/>
    <col min="8723" max="8723" width="19.7109375" style="5" customWidth="1"/>
    <col min="8724" max="8962" width="9.140625" style="5"/>
    <col min="8963" max="8963" width="10.42578125" style="5" bestFit="1" customWidth="1"/>
    <col min="8964" max="8964" width="13.42578125" style="5" customWidth="1"/>
    <col min="8965" max="8965" width="12.42578125" style="5" customWidth="1"/>
    <col min="8966" max="8966" width="12.5703125" style="5" customWidth="1"/>
    <col min="8967" max="8969" width="13" style="5" customWidth="1"/>
    <col min="8970" max="8970" width="14.7109375" style="5" customWidth="1"/>
    <col min="8971" max="8974" width="9.28515625" style="5" hidden="1" customWidth="1"/>
    <col min="8975" max="8978" width="11.28515625" style="5" customWidth="1"/>
    <col min="8979" max="8979" width="19.7109375" style="5" customWidth="1"/>
    <col min="8980" max="9218" width="9.140625" style="5"/>
    <col min="9219" max="9219" width="10.42578125" style="5" bestFit="1" customWidth="1"/>
    <col min="9220" max="9220" width="13.42578125" style="5" customWidth="1"/>
    <col min="9221" max="9221" width="12.42578125" style="5" customWidth="1"/>
    <col min="9222" max="9222" width="12.5703125" style="5" customWidth="1"/>
    <col min="9223" max="9225" width="13" style="5" customWidth="1"/>
    <col min="9226" max="9226" width="14.7109375" style="5" customWidth="1"/>
    <col min="9227" max="9230" width="9.28515625" style="5" hidden="1" customWidth="1"/>
    <col min="9231" max="9234" width="11.28515625" style="5" customWidth="1"/>
    <col min="9235" max="9235" width="19.7109375" style="5" customWidth="1"/>
    <col min="9236" max="9474" width="9.140625" style="5"/>
    <col min="9475" max="9475" width="10.42578125" style="5" bestFit="1" customWidth="1"/>
    <col min="9476" max="9476" width="13.42578125" style="5" customWidth="1"/>
    <col min="9477" max="9477" width="12.42578125" style="5" customWidth="1"/>
    <col min="9478" max="9478" width="12.5703125" style="5" customWidth="1"/>
    <col min="9479" max="9481" width="13" style="5" customWidth="1"/>
    <col min="9482" max="9482" width="14.7109375" style="5" customWidth="1"/>
    <col min="9483" max="9486" width="9.28515625" style="5" hidden="1" customWidth="1"/>
    <col min="9487" max="9490" width="11.28515625" style="5" customWidth="1"/>
    <col min="9491" max="9491" width="19.7109375" style="5" customWidth="1"/>
    <col min="9492" max="9730" width="9.140625" style="5"/>
    <col min="9731" max="9731" width="10.42578125" style="5" bestFit="1" customWidth="1"/>
    <col min="9732" max="9732" width="13.42578125" style="5" customWidth="1"/>
    <col min="9733" max="9733" width="12.42578125" style="5" customWidth="1"/>
    <col min="9734" max="9734" width="12.5703125" style="5" customWidth="1"/>
    <col min="9735" max="9737" width="13" style="5" customWidth="1"/>
    <col min="9738" max="9738" width="14.7109375" style="5" customWidth="1"/>
    <col min="9739" max="9742" width="9.28515625" style="5" hidden="1" customWidth="1"/>
    <col min="9743" max="9746" width="11.28515625" style="5" customWidth="1"/>
    <col min="9747" max="9747" width="19.7109375" style="5" customWidth="1"/>
    <col min="9748" max="9986" width="9.140625" style="5"/>
    <col min="9987" max="9987" width="10.42578125" style="5" bestFit="1" customWidth="1"/>
    <col min="9988" max="9988" width="13.42578125" style="5" customWidth="1"/>
    <col min="9989" max="9989" width="12.42578125" style="5" customWidth="1"/>
    <col min="9990" max="9990" width="12.5703125" style="5" customWidth="1"/>
    <col min="9991" max="9993" width="13" style="5" customWidth="1"/>
    <col min="9994" max="9994" width="14.7109375" style="5" customWidth="1"/>
    <col min="9995" max="9998" width="9.28515625" style="5" hidden="1" customWidth="1"/>
    <col min="9999" max="10002" width="11.28515625" style="5" customWidth="1"/>
    <col min="10003" max="10003" width="19.7109375" style="5" customWidth="1"/>
    <col min="10004" max="10242" width="9.140625" style="5"/>
    <col min="10243" max="10243" width="10.42578125" style="5" bestFit="1" customWidth="1"/>
    <col min="10244" max="10244" width="13.42578125" style="5" customWidth="1"/>
    <col min="10245" max="10245" width="12.42578125" style="5" customWidth="1"/>
    <col min="10246" max="10246" width="12.5703125" style="5" customWidth="1"/>
    <col min="10247" max="10249" width="13" style="5" customWidth="1"/>
    <col min="10250" max="10250" width="14.7109375" style="5" customWidth="1"/>
    <col min="10251" max="10254" width="9.28515625" style="5" hidden="1" customWidth="1"/>
    <col min="10255" max="10258" width="11.28515625" style="5" customWidth="1"/>
    <col min="10259" max="10259" width="19.7109375" style="5" customWidth="1"/>
    <col min="10260" max="10498" width="9.140625" style="5"/>
    <col min="10499" max="10499" width="10.42578125" style="5" bestFit="1" customWidth="1"/>
    <col min="10500" max="10500" width="13.42578125" style="5" customWidth="1"/>
    <col min="10501" max="10501" width="12.42578125" style="5" customWidth="1"/>
    <col min="10502" max="10502" width="12.5703125" style="5" customWidth="1"/>
    <col min="10503" max="10505" width="13" style="5" customWidth="1"/>
    <col min="10506" max="10506" width="14.7109375" style="5" customWidth="1"/>
    <col min="10507" max="10510" width="9.28515625" style="5" hidden="1" customWidth="1"/>
    <col min="10511" max="10514" width="11.28515625" style="5" customWidth="1"/>
    <col min="10515" max="10515" width="19.7109375" style="5" customWidth="1"/>
    <col min="10516" max="10754" width="9.140625" style="5"/>
    <col min="10755" max="10755" width="10.42578125" style="5" bestFit="1" customWidth="1"/>
    <col min="10756" max="10756" width="13.42578125" style="5" customWidth="1"/>
    <col min="10757" max="10757" width="12.42578125" style="5" customWidth="1"/>
    <col min="10758" max="10758" width="12.5703125" style="5" customWidth="1"/>
    <col min="10759" max="10761" width="13" style="5" customWidth="1"/>
    <col min="10762" max="10762" width="14.7109375" style="5" customWidth="1"/>
    <col min="10763" max="10766" width="9.28515625" style="5" hidden="1" customWidth="1"/>
    <col min="10767" max="10770" width="11.28515625" style="5" customWidth="1"/>
    <col min="10771" max="10771" width="19.7109375" style="5" customWidth="1"/>
    <col min="10772" max="11010" width="9.140625" style="5"/>
    <col min="11011" max="11011" width="10.42578125" style="5" bestFit="1" customWidth="1"/>
    <col min="11012" max="11012" width="13.42578125" style="5" customWidth="1"/>
    <col min="11013" max="11013" width="12.42578125" style="5" customWidth="1"/>
    <col min="11014" max="11014" width="12.5703125" style="5" customWidth="1"/>
    <col min="11015" max="11017" width="13" style="5" customWidth="1"/>
    <col min="11018" max="11018" width="14.7109375" style="5" customWidth="1"/>
    <col min="11019" max="11022" width="9.28515625" style="5" hidden="1" customWidth="1"/>
    <col min="11023" max="11026" width="11.28515625" style="5" customWidth="1"/>
    <col min="11027" max="11027" width="19.7109375" style="5" customWidth="1"/>
    <col min="11028" max="11266" width="9.140625" style="5"/>
    <col min="11267" max="11267" width="10.42578125" style="5" bestFit="1" customWidth="1"/>
    <col min="11268" max="11268" width="13.42578125" style="5" customWidth="1"/>
    <col min="11269" max="11269" width="12.42578125" style="5" customWidth="1"/>
    <col min="11270" max="11270" width="12.5703125" style="5" customWidth="1"/>
    <col min="11271" max="11273" width="13" style="5" customWidth="1"/>
    <col min="11274" max="11274" width="14.7109375" style="5" customWidth="1"/>
    <col min="11275" max="11278" width="9.28515625" style="5" hidden="1" customWidth="1"/>
    <col min="11279" max="11282" width="11.28515625" style="5" customWidth="1"/>
    <col min="11283" max="11283" width="19.7109375" style="5" customWidth="1"/>
    <col min="11284" max="11522" width="9.140625" style="5"/>
    <col min="11523" max="11523" width="10.42578125" style="5" bestFit="1" customWidth="1"/>
    <col min="11524" max="11524" width="13.42578125" style="5" customWidth="1"/>
    <col min="11525" max="11525" width="12.42578125" style="5" customWidth="1"/>
    <col min="11526" max="11526" width="12.5703125" style="5" customWidth="1"/>
    <col min="11527" max="11529" width="13" style="5" customWidth="1"/>
    <col min="11530" max="11530" width="14.7109375" style="5" customWidth="1"/>
    <col min="11531" max="11534" width="9.28515625" style="5" hidden="1" customWidth="1"/>
    <col min="11535" max="11538" width="11.28515625" style="5" customWidth="1"/>
    <col min="11539" max="11539" width="19.7109375" style="5" customWidth="1"/>
    <col min="11540" max="11778" width="9.140625" style="5"/>
    <col min="11779" max="11779" width="10.42578125" style="5" bestFit="1" customWidth="1"/>
    <col min="11780" max="11780" width="13.42578125" style="5" customWidth="1"/>
    <col min="11781" max="11781" width="12.42578125" style="5" customWidth="1"/>
    <col min="11782" max="11782" width="12.5703125" style="5" customWidth="1"/>
    <col min="11783" max="11785" width="13" style="5" customWidth="1"/>
    <col min="11786" max="11786" width="14.7109375" style="5" customWidth="1"/>
    <col min="11787" max="11790" width="9.28515625" style="5" hidden="1" customWidth="1"/>
    <col min="11791" max="11794" width="11.28515625" style="5" customWidth="1"/>
    <col min="11795" max="11795" width="19.7109375" style="5" customWidth="1"/>
    <col min="11796" max="12034" width="9.140625" style="5"/>
    <col min="12035" max="12035" width="10.42578125" style="5" bestFit="1" customWidth="1"/>
    <col min="12036" max="12036" width="13.42578125" style="5" customWidth="1"/>
    <col min="12037" max="12037" width="12.42578125" style="5" customWidth="1"/>
    <col min="12038" max="12038" width="12.5703125" style="5" customWidth="1"/>
    <col min="12039" max="12041" width="13" style="5" customWidth="1"/>
    <col min="12042" max="12042" width="14.7109375" style="5" customWidth="1"/>
    <col min="12043" max="12046" width="9.28515625" style="5" hidden="1" customWidth="1"/>
    <col min="12047" max="12050" width="11.28515625" style="5" customWidth="1"/>
    <col min="12051" max="12051" width="19.7109375" style="5" customWidth="1"/>
    <col min="12052" max="12290" width="9.140625" style="5"/>
    <col min="12291" max="12291" width="10.42578125" style="5" bestFit="1" customWidth="1"/>
    <col min="12292" max="12292" width="13.42578125" style="5" customWidth="1"/>
    <col min="12293" max="12293" width="12.42578125" style="5" customWidth="1"/>
    <col min="12294" max="12294" width="12.5703125" style="5" customWidth="1"/>
    <col min="12295" max="12297" width="13" style="5" customWidth="1"/>
    <col min="12298" max="12298" width="14.7109375" style="5" customWidth="1"/>
    <col min="12299" max="12302" width="9.28515625" style="5" hidden="1" customWidth="1"/>
    <col min="12303" max="12306" width="11.28515625" style="5" customWidth="1"/>
    <col min="12307" max="12307" width="19.7109375" style="5" customWidth="1"/>
    <col min="12308" max="12546" width="9.140625" style="5"/>
    <col min="12547" max="12547" width="10.42578125" style="5" bestFit="1" customWidth="1"/>
    <col min="12548" max="12548" width="13.42578125" style="5" customWidth="1"/>
    <col min="12549" max="12549" width="12.42578125" style="5" customWidth="1"/>
    <col min="12550" max="12550" width="12.5703125" style="5" customWidth="1"/>
    <col min="12551" max="12553" width="13" style="5" customWidth="1"/>
    <col min="12554" max="12554" width="14.7109375" style="5" customWidth="1"/>
    <col min="12555" max="12558" width="9.28515625" style="5" hidden="1" customWidth="1"/>
    <col min="12559" max="12562" width="11.28515625" style="5" customWidth="1"/>
    <col min="12563" max="12563" width="19.7109375" style="5" customWidth="1"/>
    <col min="12564" max="12802" width="9.140625" style="5"/>
    <col min="12803" max="12803" width="10.42578125" style="5" bestFit="1" customWidth="1"/>
    <col min="12804" max="12804" width="13.42578125" style="5" customWidth="1"/>
    <col min="12805" max="12805" width="12.42578125" style="5" customWidth="1"/>
    <col min="12806" max="12806" width="12.5703125" style="5" customWidth="1"/>
    <col min="12807" max="12809" width="13" style="5" customWidth="1"/>
    <col min="12810" max="12810" width="14.7109375" style="5" customWidth="1"/>
    <col min="12811" max="12814" width="9.28515625" style="5" hidden="1" customWidth="1"/>
    <col min="12815" max="12818" width="11.28515625" style="5" customWidth="1"/>
    <col min="12819" max="12819" width="19.7109375" style="5" customWidth="1"/>
    <col min="12820" max="13058" width="9.140625" style="5"/>
    <col min="13059" max="13059" width="10.42578125" style="5" bestFit="1" customWidth="1"/>
    <col min="13060" max="13060" width="13.42578125" style="5" customWidth="1"/>
    <col min="13061" max="13061" width="12.42578125" style="5" customWidth="1"/>
    <col min="13062" max="13062" width="12.5703125" style="5" customWidth="1"/>
    <col min="13063" max="13065" width="13" style="5" customWidth="1"/>
    <col min="13066" max="13066" width="14.7109375" style="5" customWidth="1"/>
    <col min="13067" max="13070" width="9.28515625" style="5" hidden="1" customWidth="1"/>
    <col min="13071" max="13074" width="11.28515625" style="5" customWidth="1"/>
    <col min="13075" max="13075" width="19.7109375" style="5" customWidth="1"/>
    <col min="13076" max="13314" width="9.140625" style="5"/>
    <col min="13315" max="13315" width="10.42578125" style="5" bestFit="1" customWidth="1"/>
    <col min="13316" max="13316" width="13.42578125" style="5" customWidth="1"/>
    <col min="13317" max="13317" width="12.42578125" style="5" customWidth="1"/>
    <col min="13318" max="13318" width="12.5703125" style="5" customWidth="1"/>
    <col min="13319" max="13321" width="13" style="5" customWidth="1"/>
    <col min="13322" max="13322" width="14.7109375" style="5" customWidth="1"/>
    <col min="13323" max="13326" width="9.28515625" style="5" hidden="1" customWidth="1"/>
    <col min="13327" max="13330" width="11.28515625" style="5" customWidth="1"/>
    <col min="13331" max="13331" width="19.7109375" style="5" customWidth="1"/>
    <col min="13332" max="13570" width="9.140625" style="5"/>
    <col min="13571" max="13571" width="10.42578125" style="5" bestFit="1" customWidth="1"/>
    <col min="13572" max="13572" width="13.42578125" style="5" customWidth="1"/>
    <col min="13573" max="13573" width="12.42578125" style="5" customWidth="1"/>
    <col min="13574" max="13574" width="12.5703125" style="5" customWidth="1"/>
    <col min="13575" max="13577" width="13" style="5" customWidth="1"/>
    <col min="13578" max="13578" width="14.7109375" style="5" customWidth="1"/>
    <col min="13579" max="13582" width="9.28515625" style="5" hidden="1" customWidth="1"/>
    <col min="13583" max="13586" width="11.28515625" style="5" customWidth="1"/>
    <col min="13587" max="13587" width="19.7109375" style="5" customWidth="1"/>
    <col min="13588" max="13826" width="9.140625" style="5"/>
    <col min="13827" max="13827" width="10.42578125" style="5" bestFit="1" customWidth="1"/>
    <col min="13828" max="13828" width="13.42578125" style="5" customWidth="1"/>
    <col min="13829" max="13829" width="12.42578125" style="5" customWidth="1"/>
    <col min="13830" max="13830" width="12.5703125" style="5" customWidth="1"/>
    <col min="13831" max="13833" width="13" style="5" customWidth="1"/>
    <col min="13834" max="13834" width="14.7109375" style="5" customWidth="1"/>
    <col min="13835" max="13838" width="9.28515625" style="5" hidden="1" customWidth="1"/>
    <col min="13839" max="13842" width="11.28515625" style="5" customWidth="1"/>
    <col min="13843" max="13843" width="19.7109375" style="5" customWidth="1"/>
    <col min="13844" max="14082" width="9.140625" style="5"/>
    <col min="14083" max="14083" width="10.42578125" style="5" bestFit="1" customWidth="1"/>
    <col min="14084" max="14084" width="13.42578125" style="5" customWidth="1"/>
    <col min="14085" max="14085" width="12.42578125" style="5" customWidth="1"/>
    <col min="14086" max="14086" width="12.5703125" style="5" customWidth="1"/>
    <col min="14087" max="14089" width="13" style="5" customWidth="1"/>
    <col min="14090" max="14090" width="14.7109375" style="5" customWidth="1"/>
    <col min="14091" max="14094" width="9.28515625" style="5" hidden="1" customWidth="1"/>
    <col min="14095" max="14098" width="11.28515625" style="5" customWidth="1"/>
    <col min="14099" max="14099" width="19.7109375" style="5" customWidth="1"/>
    <col min="14100" max="14338" width="9.140625" style="5"/>
    <col min="14339" max="14339" width="10.42578125" style="5" bestFit="1" customWidth="1"/>
    <col min="14340" max="14340" width="13.42578125" style="5" customWidth="1"/>
    <col min="14341" max="14341" width="12.42578125" style="5" customWidth="1"/>
    <col min="14342" max="14342" width="12.5703125" style="5" customWidth="1"/>
    <col min="14343" max="14345" width="13" style="5" customWidth="1"/>
    <col min="14346" max="14346" width="14.7109375" style="5" customWidth="1"/>
    <col min="14347" max="14350" width="9.28515625" style="5" hidden="1" customWidth="1"/>
    <col min="14351" max="14354" width="11.28515625" style="5" customWidth="1"/>
    <col min="14355" max="14355" width="19.7109375" style="5" customWidth="1"/>
    <col min="14356" max="14594" width="9.140625" style="5"/>
    <col min="14595" max="14595" width="10.42578125" style="5" bestFit="1" customWidth="1"/>
    <col min="14596" max="14596" width="13.42578125" style="5" customWidth="1"/>
    <col min="14597" max="14597" width="12.42578125" style="5" customWidth="1"/>
    <col min="14598" max="14598" width="12.5703125" style="5" customWidth="1"/>
    <col min="14599" max="14601" width="13" style="5" customWidth="1"/>
    <col min="14602" max="14602" width="14.7109375" style="5" customWidth="1"/>
    <col min="14603" max="14606" width="9.28515625" style="5" hidden="1" customWidth="1"/>
    <col min="14607" max="14610" width="11.28515625" style="5" customWidth="1"/>
    <col min="14611" max="14611" width="19.7109375" style="5" customWidth="1"/>
    <col min="14612" max="14850" width="9.140625" style="5"/>
    <col min="14851" max="14851" width="10.42578125" style="5" bestFit="1" customWidth="1"/>
    <col min="14852" max="14852" width="13.42578125" style="5" customWidth="1"/>
    <col min="14853" max="14853" width="12.42578125" style="5" customWidth="1"/>
    <col min="14854" max="14854" width="12.5703125" style="5" customWidth="1"/>
    <col min="14855" max="14857" width="13" style="5" customWidth="1"/>
    <col min="14858" max="14858" width="14.7109375" style="5" customWidth="1"/>
    <col min="14859" max="14862" width="9.28515625" style="5" hidden="1" customWidth="1"/>
    <col min="14863" max="14866" width="11.28515625" style="5" customWidth="1"/>
    <col min="14867" max="14867" width="19.7109375" style="5" customWidth="1"/>
    <col min="14868" max="15106" width="9.140625" style="5"/>
    <col min="15107" max="15107" width="10.42578125" style="5" bestFit="1" customWidth="1"/>
    <col min="15108" max="15108" width="13.42578125" style="5" customWidth="1"/>
    <col min="15109" max="15109" width="12.42578125" style="5" customWidth="1"/>
    <col min="15110" max="15110" width="12.5703125" style="5" customWidth="1"/>
    <col min="15111" max="15113" width="13" style="5" customWidth="1"/>
    <col min="15114" max="15114" width="14.7109375" style="5" customWidth="1"/>
    <col min="15115" max="15118" width="9.28515625" style="5" hidden="1" customWidth="1"/>
    <col min="15119" max="15122" width="11.28515625" style="5" customWidth="1"/>
    <col min="15123" max="15123" width="19.7109375" style="5" customWidth="1"/>
    <col min="15124" max="15362" width="9.140625" style="5"/>
    <col min="15363" max="15363" width="10.42578125" style="5" bestFit="1" customWidth="1"/>
    <col min="15364" max="15364" width="13.42578125" style="5" customWidth="1"/>
    <col min="15365" max="15365" width="12.42578125" style="5" customWidth="1"/>
    <col min="15366" max="15366" width="12.5703125" style="5" customWidth="1"/>
    <col min="15367" max="15369" width="13" style="5" customWidth="1"/>
    <col min="15370" max="15370" width="14.7109375" style="5" customWidth="1"/>
    <col min="15371" max="15374" width="9.28515625" style="5" hidden="1" customWidth="1"/>
    <col min="15375" max="15378" width="11.28515625" style="5" customWidth="1"/>
    <col min="15379" max="15379" width="19.7109375" style="5" customWidth="1"/>
    <col min="15380" max="15618" width="9.140625" style="5"/>
    <col min="15619" max="15619" width="10.42578125" style="5" bestFit="1" customWidth="1"/>
    <col min="15620" max="15620" width="13.42578125" style="5" customWidth="1"/>
    <col min="15621" max="15621" width="12.42578125" style="5" customWidth="1"/>
    <col min="15622" max="15622" width="12.5703125" style="5" customWidth="1"/>
    <col min="15623" max="15625" width="13" style="5" customWidth="1"/>
    <col min="15626" max="15626" width="14.7109375" style="5" customWidth="1"/>
    <col min="15627" max="15630" width="9.28515625" style="5" hidden="1" customWidth="1"/>
    <col min="15631" max="15634" width="11.28515625" style="5" customWidth="1"/>
    <col min="15635" max="15635" width="19.7109375" style="5" customWidth="1"/>
    <col min="15636" max="15874" width="9.140625" style="5"/>
    <col min="15875" max="15875" width="10.42578125" style="5" bestFit="1" customWidth="1"/>
    <col min="15876" max="15876" width="13.42578125" style="5" customWidth="1"/>
    <col min="15877" max="15877" width="12.42578125" style="5" customWidth="1"/>
    <col min="15878" max="15878" width="12.5703125" style="5" customWidth="1"/>
    <col min="15879" max="15881" width="13" style="5" customWidth="1"/>
    <col min="15882" max="15882" width="14.7109375" style="5" customWidth="1"/>
    <col min="15883" max="15886" width="9.28515625" style="5" hidden="1" customWidth="1"/>
    <col min="15887" max="15890" width="11.28515625" style="5" customWidth="1"/>
    <col min="15891" max="15891" width="19.7109375" style="5" customWidth="1"/>
    <col min="15892" max="16130" width="9.140625" style="5"/>
    <col min="16131" max="16131" width="10.42578125" style="5" bestFit="1" customWidth="1"/>
    <col min="16132" max="16132" width="13.42578125" style="5" customWidth="1"/>
    <col min="16133" max="16133" width="12.42578125" style="5" customWidth="1"/>
    <col min="16134" max="16134" width="12.5703125" style="5" customWidth="1"/>
    <col min="16135" max="16137" width="13" style="5" customWidth="1"/>
    <col min="16138" max="16138" width="14.7109375" style="5" customWidth="1"/>
    <col min="16139" max="16142" width="9.28515625" style="5" hidden="1" customWidth="1"/>
    <col min="16143" max="16146" width="11.28515625" style="5" customWidth="1"/>
    <col min="16147" max="16147" width="19.7109375" style="5" customWidth="1"/>
    <col min="16148" max="16384" width="9.140625" style="5"/>
  </cols>
  <sheetData>
    <row r="1" spans="1:23" ht="13.9" customHeight="1" thickBot="1">
      <c r="A1" s="1" t="s">
        <v>0</v>
      </c>
      <c r="B1" s="205" t="s">
        <v>83</v>
      </c>
      <c r="C1" s="205"/>
      <c r="D1" s="127"/>
      <c r="E1" s="1" t="s">
        <v>1</v>
      </c>
      <c r="F1" s="2">
        <v>12</v>
      </c>
      <c r="G1" s="16"/>
      <c r="H1" s="3" t="s">
        <v>2</v>
      </c>
      <c r="I1" s="4">
        <v>42598</v>
      </c>
      <c r="L1" s="208" t="s">
        <v>3</v>
      </c>
      <c r="M1" s="208"/>
      <c r="N1"/>
      <c r="O1"/>
      <c r="P1"/>
      <c r="Q1"/>
      <c r="R1"/>
      <c r="S1"/>
      <c r="T1"/>
      <c r="U1"/>
      <c r="V1"/>
    </row>
    <row r="2" spans="1:23" ht="15">
      <c r="A2" s="1" t="s">
        <v>4</v>
      </c>
      <c r="B2" s="206">
        <v>225275263</v>
      </c>
      <c r="C2" s="206"/>
      <c r="D2" s="128"/>
      <c r="E2"/>
      <c r="F2" s="6"/>
      <c r="H2" s="3" t="s">
        <v>5</v>
      </c>
      <c r="I2" s="4">
        <v>24302</v>
      </c>
      <c r="K2" s="7">
        <v>2007</v>
      </c>
      <c r="L2" s="11">
        <v>2007</v>
      </c>
      <c r="M2" s="11">
        <v>2007</v>
      </c>
      <c r="N2"/>
      <c r="O2" s="8">
        <v>58000</v>
      </c>
      <c r="P2" s="9"/>
      <c r="Q2" s="9"/>
      <c r="R2" s="8">
        <v>19500</v>
      </c>
      <c r="S2" s="10"/>
      <c r="T2"/>
      <c r="U2"/>
      <c r="V2"/>
    </row>
    <row r="3" spans="1:23" ht="15">
      <c r="A3" s="11" t="s">
        <v>6</v>
      </c>
      <c r="B3" s="11" t="s">
        <v>7</v>
      </c>
      <c r="C3" s="11" t="s">
        <v>8</v>
      </c>
      <c r="D3" s="11" t="s">
        <v>8</v>
      </c>
      <c r="E3" s="11" t="s">
        <v>9</v>
      </c>
      <c r="F3" s="11" t="s">
        <v>10</v>
      </c>
      <c r="G3" s="11" t="s">
        <v>99</v>
      </c>
      <c r="H3" s="3" t="s">
        <v>11</v>
      </c>
      <c r="I3" s="3">
        <f>I4*F1</f>
        <v>239390</v>
      </c>
      <c r="J3" s="49"/>
      <c r="K3" s="12" t="s">
        <v>12</v>
      </c>
      <c r="L3" s="13" t="s">
        <v>13</v>
      </c>
      <c r="M3" s="13" t="s">
        <v>13</v>
      </c>
      <c r="N3"/>
      <c r="O3" s="14">
        <f>-SUM(C30+D30+E30)</f>
        <v>-41413.039999999986</v>
      </c>
      <c r="R3" s="14">
        <v>0</v>
      </c>
      <c r="S3" s="15" t="s">
        <v>14</v>
      </c>
      <c r="T3"/>
      <c r="U3" s="16"/>
    </row>
    <row r="4" spans="1:23" ht="15.7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3" t="s">
        <v>17</v>
      </c>
      <c r="I4" s="18">
        <f>239390/12</f>
        <v>19949.166666666668</v>
      </c>
      <c r="J4" s="49"/>
      <c r="K4" s="12" t="s">
        <v>16</v>
      </c>
      <c r="L4" s="13" t="s">
        <v>18</v>
      </c>
      <c r="M4" s="13" t="s">
        <v>19</v>
      </c>
      <c r="N4"/>
      <c r="O4" s="19">
        <f>SUM(O2:O3)</f>
        <v>16586.960000000014</v>
      </c>
      <c r="P4" s="20" t="s">
        <v>44</v>
      </c>
      <c r="Q4" s="20"/>
      <c r="R4" s="14">
        <v>6500</v>
      </c>
      <c r="S4" s="15" t="s">
        <v>20</v>
      </c>
      <c r="T4"/>
      <c r="U4" s="16"/>
    </row>
    <row r="5" spans="1:23" ht="15">
      <c r="A5" s="21" t="s">
        <v>21</v>
      </c>
      <c r="B5" s="21" t="s">
        <v>22</v>
      </c>
      <c r="C5" s="21" t="s">
        <v>46</v>
      </c>
      <c r="D5" s="21" t="s">
        <v>117</v>
      </c>
      <c r="E5" s="21" t="s">
        <v>118</v>
      </c>
      <c r="F5" s="21">
        <v>0</v>
      </c>
      <c r="G5" s="21">
        <v>0</v>
      </c>
      <c r="H5" s="3" t="s">
        <v>26</v>
      </c>
      <c r="I5" s="3">
        <f>I4/2</f>
        <v>9974.5833333333339</v>
      </c>
      <c r="J5" s="49"/>
      <c r="K5" s="22" t="s">
        <v>27</v>
      </c>
      <c r="L5" s="21" t="s">
        <v>28</v>
      </c>
      <c r="M5" s="21" t="s">
        <v>28</v>
      </c>
      <c r="N5"/>
      <c r="R5" s="14">
        <f>-D30</f>
        <v>-5176.6224999999986</v>
      </c>
      <c r="S5" s="15" t="s">
        <v>29</v>
      </c>
      <c r="T5"/>
      <c r="U5" s="16"/>
    </row>
    <row r="6" spans="1:23" ht="15.75" thickBot="1">
      <c r="A6" s="23">
        <v>40553</v>
      </c>
      <c r="B6" s="24">
        <v>8628.35</v>
      </c>
      <c r="C6" s="25">
        <v>0</v>
      </c>
      <c r="D6" s="25">
        <v>0</v>
      </c>
      <c r="E6" s="26">
        <f>C6</f>
        <v>0</v>
      </c>
      <c r="F6" s="27">
        <v>0</v>
      </c>
      <c r="G6" s="27">
        <v>0</v>
      </c>
      <c r="H6"/>
      <c r="I6" s="16"/>
      <c r="J6" s="28"/>
      <c r="K6" s="29" t="e">
        <v>#REF!</v>
      </c>
      <c r="L6" s="30" t="e">
        <v>#REF!</v>
      </c>
      <c r="M6" s="30" t="e">
        <v>#REF!</v>
      </c>
      <c r="N6"/>
      <c r="O6" s="76" t="s">
        <v>116</v>
      </c>
      <c r="P6" s="77"/>
      <c r="Q6" s="77"/>
      <c r="R6" s="19">
        <f>SUM(R2:R5)</f>
        <v>20823.377500000002</v>
      </c>
      <c r="S6" s="32" t="s">
        <v>93</v>
      </c>
      <c r="T6"/>
      <c r="U6" s="16"/>
    </row>
    <row r="7" spans="1:23" ht="15.75" thickBot="1">
      <c r="A7" s="23">
        <v>40568</v>
      </c>
      <c r="B7" s="24">
        <v>8628.35</v>
      </c>
      <c r="C7" s="25">
        <v>0</v>
      </c>
      <c r="D7" s="25">
        <v>0</v>
      </c>
      <c r="E7" s="26">
        <f t="shared" ref="E7:E23" si="0">C7</f>
        <v>0</v>
      </c>
      <c r="F7" s="27">
        <v>0</v>
      </c>
      <c r="G7" s="27">
        <v>0</v>
      </c>
      <c r="I7" s="16"/>
      <c r="J7" s="28"/>
      <c r="K7" s="29" t="e">
        <v>#REF!</v>
      </c>
      <c r="L7" s="30" t="e">
        <v>#REF!</v>
      </c>
      <c r="M7" s="30" t="e">
        <v>#REF!</v>
      </c>
      <c r="N7"/>
      <c r="O7" s="76" t="s">
        <v>107</v>
      </c>
      <c r="P7" s="77"/>
      <c r="Q7" s="77"/>
      <c r="R7" s="78" t="s">
        <v>45</v>
      </c>
      <c r="S7" s="79"/>
      <c r="T7"/>
      <c r="U7" s="16"/>
    </row>
    <row r="8" spans="1:23" ht="15">
      <c r="A8" s="23">
        <v>40584</v>
      </c>
      <c r="B8" s="24">
        <v>8628.35</v>
      </c>
      <c r="C8" s="25">
        <v>0</v>
      </c>
      <c r="D8" s="25">
        <v>0</v>
      </c>
      <c r="E8" s="26">
        <f t="shared" si="0"/>
        <v>0</v>
      </c>
      <c r="F8" s="27">
        <v>0</v>
      </c>
      <c r="G8" s="27">
        <v>0</v>
      </c>
      <c r="H8"/>
      <c r="I8" s="16"/>
      <c r="J8" s="28"/>
      <c r="K8" s="29" t="e">
        <v>#REF!</v>
      </c>
      <c r="L8" s="30" t="e">
        <v>#REF!</v>
      </c>
      <c r="M8" s="30" t="e">
        <v>#REF!</v>
      </c>
      <c r="N8"/>
      <c r="O8" s="31"/>
      <c r="R8" s="33">
        <f>O4</f>
        <v>16586.960000000014</v>
      </c>
      <c r="S8" s="34" t="s">
        <v>101</v>
      </c>
      <c r="T8"/>
      <c r="U8" s="16"/>
    </row>
    <row r="9" spans="1:23" ht="15">
      <c r="A9" s="23">
        <v>40599</v>
      </c>
      <c r="B9" s="24">
        <v>8628.35</v>
      </c>
      <c r="C9" s="25">
        <v>0</v>
      </c>
      <c r="D9" s="25">
        <v>0</v>
      </c>
      <c r="E9" s="26">
        <f t="shared" si="0"/>
        <v>0</v>
      </c>
      <c r="F9" s="27">
        <v>0</v>
      </c>
      <c r="G9" s="27">
        <v>0</v>
      </c>
      <c r="H9"/>
      <c r="I9" s="16"/>
      <c r="J9" s="28"/>
      <c r="K9" s="29" t="e">
        <v>#REF!</v>
      </c>
      <c r="L9" s="30" t="e">
        <v>#REF!</v>
      </c>
      <c r="M9" s="30" t="e">
        <v>#REF!</v>
      </c>
      <c r="N9"/>
      <c r="O9" s="35"/>
      <c r="P9" s="36"/>
      <c r="Q9" s="36"/>
      <c r="R9" s="14">
        <v>0</v>
      </c>
      <c r="S9" s="15" t="s">
        <v>14</v>
      </c>
      <c r="T9"/>
      <c r="U9" s="16"/>
    </row>
    <row r="10" spans="1:23" ht="15">
      <c r="A10" s="23">
        <v>40612</v>
      </c>
      <c r="B10" s="24">
        <v>8628.35</v>
      </c>
      <c r="C10" s="25">
        <v>0</v>
      </c>
      <c r="D10" s="25">
        <v>0</v>
      </c>
      <c r="E10" s="26">
        <f t="shared" si="0"/>
        <v>0</v>
      </c>
      <c r="F10" s="27">
        <v>0</v>
      </c>
      <c r="G10" s="27">
        <v>0</v>
      </c>
      <c r="H10"/>
      <c r="I10" s="80" t="s">
        <v>109</v>
      </c>
      <c r="J10" s="81"/>
      <c r="K10" s="82"/>
      <c r="L10" s="83"/>
      <c r="M10" s="83"/>
      <c r="N10" s="84"/>
      <c r="O10" s="85"/>
      <c r="P10" s="86"/>
      <c r="Q10" s="84"/>
      <c r="R10" s="14">
        <v>6500</v>
      </c>
      <c r="S10" s="15" t="s">
        <v>20</v>
      </c>
      <c r="T10"/>
      <c r="U10" s="16"/>
    </row>
    <row r="11" spans="1:23" ht="15.75" thickBot="1">
      <c r="A11" s="23">
        <v>40627</v>
      </c>
      <c r="B11" s="24">
        <v>8628.35</v>
      </c>
      <c r="C11" s="25">
        <v>0</v>
      </c>
      <c r="D11" s="25">
        <v>0</v>
      </c>
      <c r="E11" s="26">
        <f t="shared" si="0"/>
        <v>0</v>
      </c>
      <c r="F11" s="27">
        <v>0</v>
      </c>
      <c r="G11" s="27">
        <v>0</v>
      </c>
      <c r="H11"/>
      <c r="I11" s="80" t="s">
        <v>97</v>
      </c>
      <c r="J11" s="81"/>
      <c r="K11" s="87"/>
      <c r="L11" s="88"/>
      <c r="M11" s="88"/>
      <c r="N11" s="84"/>
      <c r="O11" s="85"/>
      <c r="P11" s="86"/>
      <c r="Q11" s="84"/>
      <c r="R11" s="19">
        <f>SUM(R8:R10)</f>
        <v>23086.960000000014</v>
      </c>
      <c r="S11" s="37"/>
      <c r="T11"/>
      <c r="U11" s="41"/>
      <c r="V11"/>
    </row>
    <row r="12" spans="1:23" ht="15.75" thickBot="1">
      <c r="A12" s="23">
        <v>40643</v>
      </c>
      <c r="B12" s="24">
        <v>8628.35</v>
      </c>
      <c r="C12" s="25">
        <v>0</v>
      </c>
      <c r="D12" s="25">
        <v>0</v>
      </c>
      <c r="E12" s="26">
        <f t="shared" si="0"/>
        <v>0</v>
      </c>
      <c r="F12" s="27">
        <v>0</v>
      </c>
      <c r="G12" s="27">
        <v>0</v>
      </c>
      <c r="H12"/>
      <c r="I12" s="80" t="s">
        <v>112</v>
      </c>
      <c r="J12" s="84"/>
      <c r="K12" s="87"/>
      <c r="L12" s="88"/>
      <c r="M12" s="90"/>
      <c r="N12" s="84"/>
      <c r="O12" s="85"/>
      <c r="P12" s="86"/>
      <c r="Q12" s="84"/>
      <c r="R12" s="38"/>
      <c r="S12" s="39"/>
      <c r="T12"/>
      <c r="U12" s="31"/>
      <c r="V12" s="31"/>
      <c r="W12" s="89"/>
    </row>
    <row r="13" spans="1:23" ht="15">
      <c r="A13" s="23">
        <v>40658</v>
      </c>
      <c r="B13" s="24">
        <v>8628.35</v>
      </c>
      <c r="C13" s="25">
        <v>0</v>
      </c>
      <c r="D13" s="25">
        <v>0</v>
      </c>
      <c r="E13" s="26">
        <f t="shared" si="0"/>
        <v>0</v>
      </c>
      <c r="F13" s="27">
        <v>0</v>
      </c>
      <c r="G13" s="27">
        <v>0</v>
      </c>
      <c r="H13"/>
      <c r="I13" s="80" t="s">
        <v>105</v>
      </c>
      <c r="J13" s="81"/>
      <c r="K13" s="91" t="e">
        <v>#REF!</v>
      </c>
      <c r="L13" s="92" t="e">
        <v>#REF!</v>
      </c>
      <c r="M13" s="92" t="e">
        <v>#REF!</v>
      </c>
      <c r="N13" s="84"/>
      <c r="O13" s="85"/>
      <c r="P13" s="86"/>
      <c r="Q13" s="84"/>
      <c r="R13" s="40" t="s">
        <v>30</v>
      </c>
      <c r="S13" s="10"/>
      <c r="T13"/>
      <c r="U13" s="89"/>
      <c r="V13" s="89"/>
    </row>
    <row r="14" spans="1:23" ht="15">
      <c r="A14" s="23">
        <v>40673</v>
      </c>
      <c r="B14" s="24">
        <v>8628.35</v>
      </c>
      <c r="C14" s="25">
        <v>0</v>
      </c>
      <c r="D14" s="25">
        <v>0</v>
      </c>
      <c r="E14" s="26">
        <f t="shared" si="0"/>
        <v>0</v>
      </c>
      <c r="F14" s="27">
        <v>0</v>
      </c>
      <c r="G14" s="27">
        <v>0</v>
      </c>
      <c r="H14"/>
      <c r="I14" s="101"/>
      <c r="J14" s="102"/>
      <c r="K14" s="103"/>
      <c r="L14" s="104"/>
      <c r="M14" s="104"/>
      <c r="N14" s="105"/>
      <c r="O14" s="106"/>
      <c r="P14" s="107"/>
      <c r="Q14" s="105"/>
      <c r="R14" s="14">
        <f>IF(R11&lt;R6,R11,R6)</f>
        <v>20823.377500000002</v>
      </c>
      <c r="S14" s="42" t="s">
        <v>31</v>
      </c>
      <c r="T14"/>
      <c r="U14" s="31"/>
      <c r="V14" s="31"/>
    </row>
    <row r="15" spans="1:23" ht="15">
      <c r="A15" s="23">
        <v>40688</v>
      </c>
      <c r="B15" s="24">
        <v>8628.35</v>
      </c>
      <c r="C15" s="25">
        <v>0</v>
      </c>
      <c r="D15" s="25">
        <v>0</v>
      </c>
      <c r="E15" s="26">
        <f t="shared" si="0"/>
        <v>0</v>
      </c>
      <c r="F15" s="27">
        <v>0</v>
      </c>
      <c r="G15" s="27">
        <v>0</v>
      </c>
      <c r="H15"/>
      <c r="I15"/>
      <c r="J15"/>
      <c r="K15" s="212" t="e">
        <v>#REF!</v>
      </c>
      <c r="L15" s="213"/>
      <c r="M15" s="214"/>
      <c r="N15"/>
      <c r="O15" s="44"/>
      <c r="P15" s="41"/>
      <c r="R15" s="14">
        <f t="shared" ref="R15:R38" si="1">R14-F6</f>
        <v>20823.377500000002</v>
      </c>
      <c r="S15" s="23">
        <v>40553</v>
      </c>
      <c r="T15"/>
      <c r="U15" s="31"/>
      <c r="V15"/>
    </row>
    <row r="16" spans="1:23" ht="15">
      <c r="A16" s="23">
        <v>40704</v>
      </c>
      <c r="B16" s="24">
        <f>(215.71+647.13)/0.1</f>
        <v>8628.4</v>
      </c>
      <c r="C16" s="25">
        <v>0</v>
      </c>
      <c r="D16" s="25">
        <v>0</v>
      </c>
      <c r="E16" s="26">
        <f t="shared" si="0"/>
        <v>0</v>
      </c>
      <c r="F16" s="27">
        <v>0</v>
      </c>
      <c r="G16" s="27">
        <v>0</v>
      </c>
      <c r="H16" s="3"/>
      <c r="I16"/>
      <c r="J16"/>
      <c r="K16" s="45"/>
      <c r="L16" s="45"/>
      <c r="M16" s="45"/>
      <c r="N16" s="45"/>
      <c r="O16" s="45"/>
      <c r="P16" s="46"/>
      <c r="Q16" s="46"/>
      <c r="R16" s="14">
        <f t="shared" si="1"/>
        <v>20823.377500000002</v>
      </c>
      <c r="S16" s="23">
        <v>40568</v>
      </c>
      <c r="T16"/>
      <c r="U16" s="31"/>
      <c r="V16"/>
    </row>
    <row r="17" spans="1:25" ht="15">
      <c r="A17" s="23">
        <v>40719</v>
      </c>
      <c r="B17" s="24">
        <f>(215.71+647.13)/0.1</f>
        <v>8628.4</v>
      </c>
      <c r="C17" s="25">
        <v>0</v>
      </c>
      <c r="D17" s="25">
        <v>0</v>
      </c>
      <c r="E17" s="26">
        <f t="shared" si="0"/>
        <v>0</v>
      </c>
      <c r="F17" s="27">
        <v>0</v>
      </c>
      <c r="G17" s="27">
        <v>0</v>
      </c>
      <c r="H17"/>
      <c r="I17"/>
      <c r="J17"/>
      <c r="K17" s="47"/>
      <c r="L17" s="45"/>
      <c r="M17" s="45"/>
      <c r="N17" s="45"/>
      <c r="O17" s="48"/>
      <c r="P17" s="45"/>
      <c r="Q17" s="46"/>
      <c r="R17" s="14">
        <f t="shared" si="1"/>
        <v>20823.377500000002</v>
      </c>
      <c r="S17" s="23">
        <v>40584</v>
      </c>
      <c r="T17"/>
      <c r="U17" s="31"/>
      <c r="V17"/>
    </row>
    <row r="18" spans="1:25" ht="15">
      <c r="A18" s="23">
        <v>40369</v>
      </c>
      <c r="B18" s="24">
        <f>(161.78+485.34)/0.1</f>
        <v>6471.2</v>
      </c>
      <c r="C18" s="25">
        <v>0</v>
      </c>
      <c r="D18" s="25">
        <v>0</v>
      </c>
      <c r="E18" s="26">
        <f t="shared" si="0"/>
        <v>0</v>
      </c>
      <c r="F18" s="27">
        <v>0</v>
      </c>
      <c r="G18" s="27">
        <v>0</v>
      </c>
      <c r="H18"/>
      <c r="I18"/>
      <c r="J18"/>
      <c r="K18" s="45"/>
      <c r="L18" s="45"/>
      <c r="M18" s="45"/>
      <c r="N18" s="45"/>
      <c r="O18"/>
      <c r="P18"/>
      <c r="Q18"/>
      <c r="R18" s="14">
        <f t="shared" si="1"/>
        <v>20823.377500000002</v>
      </c>
      <c r="S18" s="23">
        <v>40599</v>
      </c>
      <c r="T18"/>
      <c r="U18" s="31"/>
      <c r="V18"/>
      <c r="X18" s="31"/>
      <c r="Y18" s="31"/>
    </row>
    <row r="19" spans="1:25" ht="15">
      <c r="A19" s="23">
        <v>40384</v>
      </c>
      <c r="B19" s="24">
        <f>(107.85+323.56)/0.1</f>
        <v>4314.0999999999995</v>
      </c>
      <c r="C19" s="25">
        <v>0</v>
      </c>
      <c r="D19" s="25">
        <v>0</v>
      </c>
      <c r="E19" s="26">
        <f t="shared" si="0"/>
        <v>0</v>
      </c>
      <c r="F19" s="27">
        <v>0</v>
      </c>
      <c r="G19" s="27">
        <v>0</v>
      </c>
      <c r="H19"/>
      <c r="I19"/>
      <c r="J19"/>
      <c r="K19" s="49"/>
      <c r="L19"/>
      <c r="M19"/>
      <c r="N19"/>
      <c r="O19"/>
      <c r="P19"/>
      <c r="Q19"/>
      <c r="R19" s="14">
        <f t="shared" si="1"/>
        <v>20823.377500000002</v>
      </c>
      <c r="S19" s="23">
        <v>40612</v>
      </c>
      <c r="T19"/>
      <c r="U19" s="31"/>
      <c r="V19"/>
    </row>
    <row r="20" spans="1:25" ht="15">
      <c r="A20" s="23">
        <v>40400</v>
      </c>
      <c r="B20" s="24">
        <v>4314.17</v>
      </c>
      <c r="C20" s="25">
        <v>0</v>
      </c>
      <c r="D20" s="25">
        <v>0</v>
      </c>
      <c r="E20" s="26">
        <f t="shared" si="0"/>
        <v>0</v>
      </c>
      <c r="F20" s="27">
        <v>0</v>
      </c>
      <c r="G20" s="27">
        <v>0</v>
      </c>
      <c r="H20" s="50"/>
      <c r="I20" s="45"/>
      <c r="J20" s="45"/>
      <c r="K20"/>
      <c r="L20"/>
      <c r="M20"/>
      <c r="N20"/>
      <c r="O20"/>
      <c r="P20"/>
      <c r="Q20"/>
      <c r="R20" s="14">
        <f t="shared" si="1"/>
        <v>20823.377500000002</v>
      </c>
      <c r="S20" s="23">
        <v>40627</v>
      </c>
      <c r="T20"/>
      <c r="U20" s="31"/>
      <c r="V20"/>
    </row>
    <row r="21" spans="1:25" ht="15">
      <c r="A21" s="23">
        <v>40415</v>
      </c>
      <c r="B21" s="24">
        <v>8628.35</v>
      </c>
      <c r="C21" s="25">
        <v>0</v>
      </c>
      <c r="D21" s="25">
        <v>0</v>
      </c>
      <c r="E21" s="26">
        <f t="shared" si="0"/>
        <v>0</v>
      </c>
      <c r="F21" s="27">
        <v>0</v>
      </c>
      <c r="G21" s="27">
        <v>0</v>
      </c>
      <c r="H21" s="50"/>
      <c r="I21" s="51"/>
      <c r="J21" s="45">
        <f>20823.38</f>
        <v>20823.38</v>
      </c>
      <c r="K21" s="52"/>
      <c r="L21"/>
      <c r="M21"/>
      <c r="N21"/>
      <c r="O21"/>
      <c r="P21"/>
      <c r="Q21"/>
      <c r="R21" s="14">
        <f t="shared" si="1"/>
        <v>20823.377500000002</v>
      </c>
      <c r="S21" s="23">
        <v>40643</v>
      </c>
      <c r="T21"/>
      <c r="U21" s="31"/>
      <c r="V21"/>
      <c r="X21" s="31"/>
    </row>
    <row r="22" spans="1:25" ht="15">
      <c r="A22" s="23">
        <v>40066</v>
      </c>
      <c r="B22" s="24">
        <v>9974.58</v>
      </c>
      <c r="C22" s="25">
        <v>0</v>
      </c>
      <c r="D22" s="25">
        <v>0</v>
      </c>
      <c r="E22" s="26">
        <f t="shared" si="0"/>
        <v>0</v>
      </c>
      <c r="F22" s="27">
        <v>0</v>
      </c>
      <c r="G22" s="27">
        <v>0</v>
      </c>
      <c r="H22" s="53"/>
      <c r="I22" s="53"/>
      <c r="J22" s="53"/>
      <c r="K22" s="52"/>
      <c r="L22"/>
      <c r="M22"/>
      <c r="N22"/>
      <c r="O22"/>
      <c r="P22"/>
      <c r="Q22"/>
      <c r="R22" s="14">
        <f t="shared" si="1"/>
        <v>20823.377500000002</v>
      </c>
      <c r="S22" s="23">
        <v>40658</v>
      </c>
      <c r="T22"/>
      <c r="U22" s="31"/>
      <c r="V22"/>
      <c r="X22" s="31"/>
    </row>
    <row r="23" spans="1:25" ht="15">
      <c r="A23" s="23">
        <v>40081</v>
      </c>
      <c r="B23" s="24">
        <v>9974.58</v>
      </c>
      <c r="C23" s="25">
        <v>0</v>
      </c>
      <c r="D23" s="25">
        <v>0</v>
      </c>
      <c r="E23" s="26">
        <f t="shared" si="0"/>
        <v>0</v>
      </c>
      <c r="F23" s="27">
        <v>0</v>
      </c>
      <c r="G23" s="27">
        <v>0</v>
      </c>
      <c r="H23" s="53"/>
      <c r="I23" s="53">
        <f>8536.08/5</f>
        <v>1707.2159999999999</v>
      </c>
      <c r="J23" s="53"/>
      <c r="L23"/>
      <c r="M23"/>
      <c r="N23"/>
      <c r="O23"/>
      <c r="P23"/>
      <c r="Q23"/>
      <c r="R23" s="14">
        <f t="shared" si="1"/>
        <v>20823.377500000002</v>
      </c>
      <c r="S23" s="23">
        <v>40673</v>
      </c>
      <c r="T23"/>
      <c r="U23" s="31"/>
      <c r="V23"/>
      <c r="X23" s="31"/>
    </row>
    <row r="24" spans="1:25" ht="15">
      <c r="A24" s="23">
        <v>40096</v>
      </c>
      <c r="B24" s="24">
        <v>9974.58</v>
      </c>
      <c r="C24" s="25">
        <v>11789.43</v>
      </c>
      <c r="D24" s="25">
        <v>3929.8</v>
      </c>
      <c r="E24" s="26">
        <f t="shared" ref="E24:E30" si="2">C24+D24</f>
        <v>15719.23</v>
      </c>
      <c r="F24" s="27">
        <v>12287.3</v>
      </c>
      <c r="G24" s="27">
        <v>16662</v>
      </c>
      <c r="H24" s="53"/>
      <c r="I24" s="53"/>
      <c r="J24" s="53"/>
      <c r="K24" s="207"/>
      <c r="L24" s="207"/>
      <c r="M24" s="207"/>
      <c r="N24"/>
      <c r="O24"/>
      <c r="P24"/>
      <c r="Q24"/>
      <c r="R24" s="14">
        <f t="shared" si="1"/>
        <v>20823.377500000002</v>
      </c>
      <c r="S24" s="23">
        <v>40688</v>
      </c>
      <c r="T24"/>
      <c r="U24" s="31"/>
      <c r="V24"/>
      <c r="X24" s="31"/>
    </row>
    <row r="25" spans="1:25" ht="15">
      <c r="A25" s="23">
        <v>40111</v>
      </c>
      <c r="B25" s="24">
        <v>9974.58</v>
      </c>
      <c r="C25" s="25">
        <f>B25*0.075</f>
        <v>748.09349999999995</v>
      </c>
      <c r="D25" s="25">
        <f>B25*0.025</f>
        <v>249.36450000000002</v>
      </c>
      <c r="E25" s="26">
        <f t="shared" si="2"/>
        <v>997.45799999999997</v>
      </c>
      <c r="F25" s="27">
        <v>1707.21</v>
      </c>
      <c r="G25" s="27">
        <v>1388.5</v>
      </c>
      <c r="H25" s="54"/>
      <c r="I25" s="55"/>
      <c r="J25" s="54"/>
      <c r="K25" s="207"/>
      <c r="L25" s="207"/>
      <c r="M25" s="207"/>
      <c r="N25"/>
      <c r="O25"/>
      <c r="P25"/>
      <c r="R25" s="14">
        <f t="shared" si="1"/>
        <v>20823.377500000002</v>
      </c>
      <c r="S25" s="23">
        <v>40704</v>
      </c>
      <c r="T25"/>
      <c r="U25" s="31"/>
      <c r="V25"/>
    </row>
    <row r="26" spans="1:25" ht="15">
      <c r="A26" s="23">
        <v>40127</v>
      </c>
      <c r="B26" s="24">
        <v>9974.58</v>
      </c>
      <c r="C26" s="25">
        <f>B26*0.075</f>
        <v>748.09349999999995</v>
      </c>
      <c r="D26" s="25">
        <f>B26*0.025</f>
        <v>249.36450000000002</v>
      </c>
      <c r="E26" s="26">
        <f t="shared" si="2"/>
        <v>997.45799999999997</v>
      </c>
      <c r="F26" s="27">
        <v>1707.21</v>
      </c>
      <c r="G26" s="27">
        <v>1987.37</v>
      </c>
      <c r="H26" s="50"/>
      <c r="I26" s="45"/>
      <c r="J26" s="45"/>
      <c r="K26"/>
      <c r="L26"/>
      <c r="M26"/>
      <c r="N26"/>
      <c r="O26"/>
      <c r="P26"/>
      <c r="R26" s="14">
        <f t="shared" si="1"/>
        <v>20823.377500000002</v>
      </c>
      <c r="S26" s="23">
        <v>40719</v>
      </c>
      <c r="T26"/>
      <c r="U26" s="31"/>
      <c r="V26"/>
    </row>
    <row r="27" spans="1:25" ht="15" customHeight="1">
      <c r="A27" s="23">
        <v>40142</v>
      </c>
      <c r="B27" s="24">
        <v>9974.58</v>
      </c>
      <c r="C27" s="25">
        <f>B27*0.075</f>
        <v>748.09349999999995</v>
      </c>
      <c r="D27" s="25">
        <f>B27*0.025</f>
        <v>249.36450000000002</v>
      </c>
      <c r="E27" s="26">
        <f t="shared" si="2"/>
        <v>997.45799999999997</v>
      </c>
      <c r="F27" s="27">
        <v>1707.21</v>
      </c>
      <c r="G27" s="27">
        <v>1987.37</v>
      </c>
      <c r="H27" s="56"/>
      <c r="I27" s="56"/>
      <c r="J27" s="56"/>
      <c r="K27"/>
      <c r="L27"/>
      <c r="M27"/>
      <c r="N27"/>
      <c r="O27"/>
      <c r="P27"/>
      <c r="R27" s="14">
        <f t="shared" si="1"/>
        <v>20823.377500000002</v>
      </c>
      <c r="S27" s="23">
        <v>40369</v>
      </c>
      <c r="T27"/>
      <c r="U27" s="31"/>
      <c r="V27"/>
    </row>
    <row r="28" spans="1:25" ht="15">
      <c r="A28" s="23">
        <v>40157</v>
      </c>
      <c r="B28" s="24">
        <v>9974.58</v>
      </c>
      <c r="C28" s="25">
        <f>B28*0.075</f>
        <v>748.09349999999995</v>
      </c>
      <c r="D28" s="25">
        <f>B28*0.025</f>
        <v>249.36450000000002</v>
      </c>
      <c r="E28" s="26">
        <f t="shared" si="2"/>
        <v>997.45799999999997</v>
      </c>
      <c r="F28" s="27">
        <v>1707.21</v>
      </c>
      <c r="G28" s="27">
        <v>1987.37</v>
      </c>
      <c r="H28" s="56"/>
      <c r="I28" s="56"/>
      <c r="J28" s="56"/>
      <c r="K28" s="45"/>
      <c r="L28" s="45"/>
      <c r="M28" s="45"/>
      <c r="N28" s="45"/>
      <c r="O28" s="48"/>
      <c r="P28" s="45"/>
      <c r="Q28" s="46"/>
      <c r="R28" s="14">
        <f t="shared" si="1"/>
        <v>20823.377500000002</v>
      </c>
      <c r="S28" s="23">
        <v>40384</v>
      </c>
      <c r="T28"/>
      <c r="U28" s="89"/>
      <c r="V28"/>
    </row>
    <row r="29" spans="1:25" ht="15.75" thickBot="1">
      <c r="A29" s="23">
        <v>39441</v>
      </c>
      <c r="B29" s="24">
        <v>9974.58</v>
      </c>
      <c r="C29" s="25">
        <f>B29*0.075</f>
        <v>748.09349999999995</v>
      </c>
      <c r="D29" s="97">
        <f>B29*0.025</f>
        <v>249.36450000000002</v>
      </c>
      <c r="E29" s="97">
        <f t="shared" si="2"/>
        <v>997.45799999999997</v>
      </c>
      <c r="F29" s="27">
        <v>1707.21</v>
      </c>
      <c r="G29" s="27">
        <v>1987.37</v>
      </c>
      <c r="H29" s="56"/>
      <c r="I29" s="56"/>
      <c r="J29" s="56"/>
      <c r="K29" s="57"/>
      <c r="L29" s="57"/>
      <c r="M29" s="57"/>
      <c r="N29" s="57"/>
      <c r="O29"/>
      <c r="P29"/>
      <c r="Q29"/>
      <c r="R29" s="14">
        <f t="shared" si="1"/>
        <v>20823.377500000002</v>
      </c>
      <c r="S29" s="23">
        <v>40400</v>
      </c>
      <c r="T29"/>
      <c r="U29" s="89" t="s">
        <v>32</v>
      </c>
      <c r="V29"/>
    </row>
    <row r="30" spans="1:25" ht="15">
      <c r="A30" s="58" t="s">
        <v>33</v>
      </c>
      <c r="B30" s="59">
        <f>SUM(B6:B29)</f>
        <v>207064.75999999992</v>
      </c>
      <c r="C30" s="59">
        <f>SUM(C6:C29)</f>
        <v>15529.897499999995</v>
      </c>
      <c r="D30" s="26">
        <f>SUM(D6:D29)</f>
        <v>5176.6224999999986</v>
      </c>
      <c r="E30" s="26">
        <f t="shared" si="2"/>
        <v>20706.519999999993</v>
      </c>
      <c r="F30" s="59">
        <f>SUM(F6:F29)</f>
        <v>20823.349999999995</v>
      </c>
      <c r="G30" s="59">
        <f>SUM(G6:G29)</f>
        <v>25999.979999999996</v>
      </c>
      <c r="H30" s="44"/>
      <c r="I30" s="132"/>
      <c r="J30" s="44"/>
      <c r="K30" s="57"/>
      <c r="L30" s="57"/>
      <c r="M30" s="57"/>
      <c r="N30" s="57"/>
      <c r="O30"/>
      <c r="P30"/>
      <c r="Q30"/>
      <c r="R30" s="14">
        <f t="shared" si="1"/>
        <v>20823.377500000002</v>
      </c>
      <c r="S30" s="23">
        <v>40415</v>
      </c>
      <c r="T30"/>
      <c r="U30" s="89" t="s">
        <v>32</v>
      </c>
      <c r="V30"/>
    </row>
    <row r="31" spans="1:25" ht="15.75" thickBot="1">
      <c r="A31" s="63"/>
      <c r="B31" s="64"/>
      <c r="C31" s="64"/>
      <c r="D31" s="64"/>
      <c r="E31" s="64"/>
      <c r="F31" s="65"/>
      <c r="G31" s="65"/>
      <c r="H31" s="44"/>
      <c r="I31" s="132"/>
      <c r="J31" s="44"/>
      <c r="K31" s="57"/>
      <c r="L31" s="57"/>
      <c r="M31" s="57"/>
      <c r="N31" s="57"/>
      <c r="O31"/>
      <c r="P31"/>
      <c r="Q31"/>
      <c r="R31" s="14">
        <f t="shared" si="1"/>
        <v>20823.377500000002</v>
      </c>
      <c r="S31" s="23">
        <v>40066</v>
      </c>
      <c r="T31"/>
      <c r="U31" s="89" t="s">
        <v>32</v>
      </c>
      <c r="V31"/>
    </row>
    <row r="32" spans="1:25" ht="15">
      <c r="A32"/>
      <c r="B32"/>
      <c r="C32"/>
      <c r="D32"/>
      <c r="E32" s="100"/>
      <c r="F32" s="36"/>
      <c r="G32" s="36"/>
      <c r="H32" s="57"/>
      <c r="I32" s="57"/>
      <c r="J32" s="57"/>
      <c r="K32" s="57"/>
      <c r="L32" s="57"/>
      <c r="M32" s="57"/>
      <c r="N32" s="57"/>
      <c r="O32"/>
      <c r="P32"/>
      <c r="Q32"/>
      <c r="R32" s="14">
        <f t="shared" si="1"/>
        <v>20823.377500000002</v>
      </c>
      <c r="S32" s="23">
        <v>40081</v>
      </c>
      <c r="T32"/>
      <c r="U32" s="89" t="s">
        <v>32</v>
      </c>
      <c r="V32"/>
    </row>
    <row r="33" spans="1:22" ht="15">
      <c r="A33"/>
      <c r="B33" s="31"/>
      <c r="C33"/>
      <c r="D33"/>
      <c r="E33"/>
      <c r="F33" s="129"/>
      <c r="G33" s="129"/>
      <c r="H33" s="57"/>
      <c r="I33" s="57"/>
      <c r="J33" s="57"/>
      <c r="K33" s="57"/>
      <c r="L33" s="57"/>
      <c r="M33" s="57"/>
      <c r="N33" s="57"/>
      <c r="O33"/>
      <c r="P33"/>
      <c r="Q33"/>
      <c r="R33" s="14">
        <f t="shared" si="1"/>
        <v>8536.0775000000031</v>
      </c>
      <c r="S33" s="23">
        <v>40096</v>
      </c>
      <c r="T33"/>
      <c r="U33"/>
      <c r="V33"/>
    </row>
    <row r="34" spans="1:22" ht="15">
      <c r="A34"/>
      <c r="C34" s="112"/>
      <c r="D34" s="112"/>
      <c r="E34" s="130"/>
      <c r="F34" s="69"/>
      <c r="G34" s="69"/>
      <c r="H34" s="57"/>
      <c r="I34" s="57"/>
      <c r="J34" s="57"/>
      <c r="K34" s="57"/>
      <c r="L34" s="57"/>
      <c r="M34" s="57"/>
      <c r="N34" s="57"/>
      <c r="O34"/>
      <c r="P34"/>
      <c r="Q34"/>
      <c r="R34" s="14">
        <f t="shared" si="1"/>
        <v>6828.867500000003</v>
      </c>
      <c r="S34" s="23">
        <v>40111</v>
      </c>
      <c r="T34"/>
      <c r="U34"/>
      <c r="V34"/>
    </row>
    <row r="35" spans="1:22" ht="15">
      <c r="A35"/>
      <c r="C35" s="113"/>
      <c r="D35" s="113"/>
      <c r="E35" s="131"/>
      <c r="F35"/>
      <c r="G35"/>
      <c r="H35" s="57"/>
      <c r="I35" s="57"/>
      <c r="J35" s="57"/>
      <c r="K35" s="57"/>
      <c r="L35" s="57"/>
      <c r="M35" s="57"/>
      <c r="N35" s="57"/>
      <c r="O35"/>
      <c r="P35"/>
      <c r="Q35"/>
      <c r="R35" s="14">
        <f t="shared" si="1"/>
        <v>5121.657500000003</v>
      </c>
      <c r="S35" s="23">
        <v>40127</v>
      </c>
      <c r="T35"/>
      <c r="U35"/>
      <c r="V35"/>
    </row>
    <row r="36" spans="1:22" ht="15">
      <c r="A36"/>
      <c r="C36" s="31"/>
      <c r="D36" s="31"/>
      <c r="E36" s="114"/>
      <c r="G36"/>
      <c r="H36" s="70"/>
      <c r="I36" s="57"/>
      <c r="J36" s="57"/>
      <c r="K36" s="57"/>
      <c r="L36" s="57"/>
      <c r="M36" s="57"/>
      <c r="N36" s="57"/>
      <c r="O36"/>
      <c r="P36"/>
      <c r="Q36"/>
      <c r="R36" s="14">
        <f t="shared" si="1"/>
        <v>3414.4475000000029</v>
      </c>
      <c r="S36" s="23">
        <v>40142</v>
      </c>
      <c r="U36"/>
      <c r="V36"/>
    </row>
    <row r="37" spans="1:22" ht="15">
      <c r="A37"/>
      <c r="C37" s="31"/>
      <c r="D37" s="31"/>
      <c r="E37"/>
      <c r="F37"/>
      <c r="G37"/>
      <c r="H37" s="57"/>
      <c r="I37" s="57"/>
      <c r="J37" s="57"/>
      <c r="K37" s="57"/>
      <c r="L37" s="57"/>
      <c r="M37" s="57"/>
      <c r="N37" s="57"/>
      <c r="O37"/>
      <c r="P37"/>
      <c r="Q37"/>
      <c r="R37" s="14">
        <f t="shared" si="1"/>
        <v>1707.2375000000029</v>
      </c>
      <c r="S37" s="23">
        <v>40157</v>
      </c>
      <c r="U37"/>
      <c r="V37"/>
    </row>
    <row r="38" spans="1:22" ht="15.75" thickBot="1">
      <c r="A38"/>
      <c r="C38" s="31"/>
      <c r="D38" s="31"/>
      <c r="E38"/>
      <c r="F38"/>
      <c r="G38"/>
      <c r="H38" s="57"/>
      <c r="I38" s="57"/>
      <c r="J38" s="57"/>
      <c r="K38" s="57"/>
      <c r="L38" s="57"/>
      <c r="M38" s="57"/>
      <c r="N38" s="57"/>
      <c r="O38" s="5" t="s">
        <v>42</v>
      </c>
      <c r="P38"/>
      <c r="Q38"/>
      <c r="R38" s="19">
        <f t="shared" si="1"/>
        <v>2.7500000002874003E-2</v>
      </c>
      <c r="S38" s="71">
        <v>39441</v>
      </c>
      <c r="U38"/>
      <c r="V38"/>
    </row>
    <row r="39" spans="1:22">
      <c r="H39" s="57"/>
      <c r="I39" s="57"/>
      <c r="J39" s="57"/>
      <c r="K39" s="57"/>
      <c r="L39" s="57"/>
      <c r="M39" s="57"/>
      <c r="N39" s="57"/>
    </row>
    <row r="40" spans="1:22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22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1:22">
      <c r="B42" s="72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22">
      <c r="B43" s="7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1:22">
      <c r="B44" s="72"/>
      <c r="C44" s="57"/>
      <c r="D44" s="57"/>
      <c r="E44" s="57"/>
      <c r="F44" s="57"/>
      <c r="G44" s="57"/>
      <c r="H44" s="57"/>
      <c r="I44" s="57"/>
      <c r="J44" s="57"/>
    </row>
    <row r="45" spans="1:22">
      <c r="B45" s="57"/>
      <c r="C45" s="70"/>
      <c r="D45" s="70"/>
      <c r="E45" s="70"/>
      <c r="F45" s="57"/>
      <c r="G45" s="57"/>
    </row>
    <row r="47" spans="1:22">
      <c r="C47" s="31"/>
      <c r="D47" s="31"/>
    </row>
  </sheetData>
  <mergeCells count="6">
    <mergeCell ref="K25:M25"/>
    <mergeCell ref="B1:C1"/>
    <mergeCell ref="L1:M1"/>
    <mergeCell ref="B2:C2"/>
    <mergeCell ref="K15:M15"/>
    <mergeCell ref="K24:M24"/>
  </mergeCells>
  <pageMargins left="0.45" right="0.4" top="1" bottom="0.72" header="0.5" footer="0.5"/>
  <pageSetup paperSize="14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441">
    <tabColor rgb="FFFF0000"/>
  </sheetPr>
  <dimension ref="A1:WVS48"/>
  <sheetViews>
    <sheetView zoomScale="85" zoomScaleNormal="85" workbookViewId="0">
      <selection activeCell="D27" sqref="D27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82</v>
      </c>
      <c r="C1" s="205"/>
      <c r="D1" s="1" t="s">
        <v>1</v>
      </c>
      <c r="E1" s="2">
        <v>9</v>
      </c>
      <c r="F1" s="2"/>
      <c r="G1" s="2"/>
      <c r="H1" s="2"/>
      <c r="I1" s="3" t="s">
        <v>2</v>
      </c>
      <c r="J1" s="4">
        <v>35293</v>
      </c>
    </row>
    <row r="2" spans="1:20" ht="15">
      <c r="A2" s="1" t="s">
        <v>4</v>
      </c>
      <c r="B2" s="206">
        <v>529969254</v>
      </c>
      <c r="C2" s="206"/>
      <c r="D2"/>
      <c r="E2" s="6"/>
      <c r="F2" s="6"/>
      <c r="G2" s="6"/>
      <c r="H2" s="6"/>
      <c r="I2" s="3" t="s">
        <v>5</v>
      </c>
      <c r="J2" s="4">
        <v>23281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">
        <v>140197.85999999999</v>
      </c>
      <c r="K3" s="49"/>
      <c r="L3" s="14">
        <f>-SUM(C30+D30+E30+F30)</f>
        <v>-37386.173000000003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8">
        <f>J3/E1</f>
        <v>15577.539999999999</v>
      </c>
      <c r="K4" s="49"/>
      <c r="L4" s="19">
        <f>SUM(L2:L3)</f>
        <v>20613.826999999997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">
        <f>J4/2</f>
        <v>7788.7699999999995</v>
      </c>
      <c r="K5" s="49"/>
      <c r="O5" s="14">
        <f>-D30</f>
        <v>-4673.2577499999998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21326.742249999999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9" si="2">B7*0.075</f>
        <v>0</v>
      </c>
      <c r="F7" s="25">
        <f t="shared" ref="F7:F29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20613.826999999997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27113.826999999997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21326.742249999999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21326.742249999999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21326.742249999999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21326.742249999999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21326.742249999999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21326.742249999999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21326.742249999999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21326.742249999999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21326.742249999999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21326.742249999999</v>
      </c>
      <c r="P23" s="23">
        <v>40673</v>
      </c>
      <c r="R23" s="31"/>
      <c r="U23" s="31"/>
    </row>
    <row r="24" spans="1:22">
      <c r="A24" s="23">
        <v>40096</v>
      </c>
      <c r="B24" s="98">
        <v>147986.64000000001</v>
      </c>
      <c r="C24" s="25">
        <v>11099.04</v>
      </c>
      <c r="D24" s="25">
        <v>3505.04</v>
      </c>
      <c r="E24" s="26">
        <v>11099.04</v>
      </c>
      <c r="F24" s="25">
        <v>3699.68</v>
      </c>
      <c r="G24" s="27">
        <v>22494.959999999999</v>
      </c>
      <c r="H24" s="27">
        <v>0</v>
      </c>
      <c r="I24" s="53"/>
      <c r="J24" s="53"/>
      <c r="K24" s="53"/>
      <c r="O24" s="14">
        <f t="shared" si="4"/>
        <v>21326.742249999999</v>
      </c>
      <c r="P24" s="23">
        <v>40688</v>
      </c>
      <c r="R24" s="31"/>
      <c r="U24" s="31"/>
    </row>
    <row r="25" spans="1:22">
      <c r="A25" s="23">
        <v>40111</v>
      </c>
      <c r="B25" s="98">
        <f>J5</f>
        <v>7788.7699999999995</v>
      </c>
      <c r="C25" s="25">
        <f t="shared" si="0"/>
        <v>584.15774999999996</v>
      </c>
      <c r="D25" s="25">
        <v>0</v>
      </c>
      <c r="E25" s="26">
        <f t="shared" si="2"/>
        <v>584.15774999999996</v>
      </c>
      <c r="F25" s="25">
        <v>0</v>
      </c>
      <c r="G25" s="134">
        <v>-1168.23</v>
      </c>
      <c r="H25" s="27">
        <v>0</v>
      </c>
      <c r="I25" s="54"/>
      <c r="J25" s="55"/>
      <c r="K25" s="54"/>
      <c r="O25" s="14">
        <f t="shared" si="4"/>
        <v>21326.742249999999</v>
      </c>
      <c r="P25" s="23">
        <v>40704</v>
      </c>
      <c r="R25" s="31"/>
    </row>
    <row r="26" spans="1:22">
      <c r="A26" s="23">
        <v>40127</v>
      </c>
      <c r="B26" s="98">
        <f>J5</f>
        <v>7788.7699999999995</v>
      </c>
      <c r="C26" s="25">
        <f t="shared" si="0"/>
        <v>584.15774999999996</v>
      </c>
      <c r="D26" s="153">
        <v>194.72</v>
      </c>
      <c r="E26" s="26">
        <f t="shared" si="2"/>
        <v>584.15774999999996</v>
      </c>
      <c r="F26" s="25">
        <v>0.08</v>
      </c>
      <c r="G26" s="27">
        <v>0</v>
      </c>
      <c r="H26" s="27">
        <v>0</v>
      </c>
      <c r="I26" s="50"/>
      <c r="J26" s="45"/>
      <c r="K26" s="45"/>
      <c r="O26" s="14">
        <f t="shared" si="4"/>
        <v>21326.742249999999</v>
      </c>
      <c r="P26" s="23">
        <v>40719</v>
      </c>
      <c r="R26" s="31"/>
    </row>
    <row r="27" spans="1:22" ht="15" customHeight="1">
      <c r="A27" s="23">
        <v>40142</v>
      </c>
      <c r="B27" s="98">
        <f>J5</f>
        <v>7788.7699999999995</v>
      </c>
      <c r="C27" s="25">
        <f t="shared" si="0"/>
        <v>584.15774999999996</v>
      </c>
      <c r="D27" s="135">
        <f>(B27*0.025)+389.34</f>
        <v>584.05925000000002</v>
      </c>
      <c r="E27" s="26">
        <f t="shared" si="2"/>
        <v>584.15774999999996</v>
      </c>
      <c r="F27" s="135">
        <f>(B27*0.025)+389.34</f>
        <v>584.05925000000002</v>
      </c>
      <c r="G27" s="27">
        <v>0</v>
      </c>
      <c r="H27" s="27">
        <v>0</v>
      </c>
      <c r="I27" s="56"/>
      <c r="J27" s="56"/>
      <c r="K27" s="56"/>
      <c r="O27" s="14">
        <f t="shared" si="4"/>
        <v>21326.742249999999</v>
      </c>
      <c r="P27" s="23">
        <v>40369</v>
      </c>
      <c r="R27" s="31"/>
    </row>
    <row r="28" spans="1:22">
      <c r="A28" s="23">
        <v>40157</v>
      </c>
      <c r="B28" s="98">
        <f>J5</f>
        <v>7788.7699999999995</v>
      </c>
      <c r="C28" s="25">
        <f t="shared" si="0"/>
        <v>584.15774999999996</v>
      </c>
      <c r="D28" s="25">
        <f t="shared" si="1"/>
        <v>194.71924999999999</v>
      </c>
      <c r="E28" s="26">
        <f t="shared" si="2"/>
        <v>584.15774999999996</v>
      </c>
      <c r="F28" s="26">
        <f t="shared" si="3"/>
        <v>194.71924999999999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21326.742249999999</v>
      </c>
      <c r="P28" s="23">
        <v>40384</v>
      </c>
      <c r="R28" s="89"/>
    </row>
    <row r="29" spans="1:22" ht="13.5" thickBot="1">
      <c r="A29" s="23">
        <v>39441</v>
      </c>
      <c r="B29" s="98">
        <f>J5</f>
        <v>7788.7699999999995</v>
      </c>
      <c r="C29" s="25">
        <f t="shared" si="0"/>
        <v>584.15774999999996</v>
      </c>
      <c r="D29" s="126">
        <f t="shared" si="1"/>
        <v>194.71924999999999</v>
      </c>
      <c r="E29" s="97">
        <f t="shared" si="2"/>
        <v>584.15774999999996</v>
      </c>
      <c r="F29" s="97">
        <f t="shared" si="3"/>
        <v>194.71924999999999</v>
      </c>
      <c r="G29" s="27">
        <v>0</v>
      </c>
      <c r="H29" s="27">
        <v>0</v>
      </c>
      <c r="I29" s="56" t="s">
        <v>132</v>
      </c>
      <c r="J29" s="56"/>
      <c r="K29" s="56"/>
      <c r="O29" s="14">
        <f t="shared" si="4"/>
        <v>21326.742249999999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186930.48999999996</v>
      </c>
      <c r="C30" s="59">
        <f t="shared" si="5"/>
        <v>14019.828750000002</v>
      </c>
      <c r="D30" s="94">
        <f t="shared" si="5"/>
        <v>4673.2577499999998</v>
      </c>
      <c r="E30" s="94">
        <f t="shared" si="5"/>
        <v>14019.828750000002</v>
      </c>
      <c r="F30" s="94">
        <f t="shared" si="5"/>
        <v>4673.2577499999998</v>
      </c>
      <c r="G30" s="59">
        <f t="shared" si="5"/>
        <v>21326.73</v>
      </c>
      <c r="H30" s="59">
        <f t="shared" si="5"/>
        <v>0</v>
      </c>
      <c r="I30" s="44"/>
      <c r="J30" s="132"/>
      <c r="K30" s="44"/>
      <c r="O30" s="14">
        <f t="shared" si="4"/>
        <v>21326.742249999999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14019.786749999997</v>
      </c>
      <c r="D31" s="160">
        <f>B30*0.025</f>
        <v>4673.2622499999989</v>
      </c>
      <c r="E31" s="64">
        <f>C31</f>
        <v>14019.786749999997</v>
      </c>
      <c r="F31" s="64">
        <f>D31</f>
        <v>4673.2622499999989</v>
      </c>
      <c r="G31" s="65"/>
      <c r="H31" s="65"/>
      <c r="I31" s="44"/>
      <c r="J31" s="132"/>
      <c r="K31" s="44"/>
      <c r="O31" s="14">
        <f t="shared" si="4"/>
        <v>21326.742249999999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4.2000000004918547E-2</v>
      </c>
      <c r="D32" s="31">
        <f>D30-D31</f>
        <v>-4.4999999990977813E-3</v>
      </c>
      <c r="E32" s="31">
        <f>E30-E31</f>
        <v>4.2000000004918547E-2</v>
      </c>
      <c r="F32" s="31">
        <f>F30-F31</f>
        <v>-4.4999999990977813E-3</v>
      </c>
      <c r="G32" s="45"/>
      <c r="H32" s="45"/>
      <c r="I32" s="57"/>
      <c r="J32" s="57"/>
      <c r="K32" s="57"/>
      <c r="O32" s="14">
        <f t="shared" si="4"/>
        <v>21326.742249999999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-1168.2177499999998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1.2250000000221917E-2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1.2250000000221917E-2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1.2250000000221917E-2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1.2250000000221917E-2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1.2250000000221917E-2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461"/>
  <dimension ref="A1:WVS48"/>
  <sheetViews>
    <sheetView zoomScale="85" zoomScaleNormal="85" workbookViewId="0">
      <selection activeCell="F37" sqref="F37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127" t="s">
        <v>136</v>
      </c>
      <c r="C1" s="127"/>
      <c r="D1" s="1" t="s">
        <v>1</v>
      </c>
      <c r="E1" s="2">
        <v>4.5</v>
      </c>
      <c r="F1" s="16"/>
      <c r="G1" s="16"/>
      <c r="H1" s="2"/>
      <c r="I1" s="3" t="s">
        <v>2</v>
      </c>
      <c r="J1" s="73"/>
    </row>
    <row r="2" spans="1:20">
      <c r="A2" s="1" t="s">
        <v>4</v>
      </c>
      <c r="B2" s="170">
        <v>11169755</v>
      </c>
      <c r="C2" s="128"/>
      <c r="D2" s="1"/>
      <c r="E2" s="6"/>
      <c r="H2" s="6"/>
      <c r="I2" s="3" t="s">
        <v>5</v>
      </c>
      <c r="J2" s="73">
        <v>18321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125">
        <v>14472</v>
      </c>
      <c r="K3" s="49"/>
      <c r="L3" s="14">
        <f>-SUM(C30+D30+E30+F30)</f>
        <v>-723.59999999999991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J3/E1</f>
        <v>3216</v>
      </c>
      <c r="K4" s="49"/>
      <c r="L4" s="19">
        <f>SUM(L2:L3)</f>
        <v>57276.4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19500</v>
      </c>
      <c r="H5" s="21">
        <v>19500</v>
      </c>
      <c r="I5" s="3" t="s">
        <v>26</v>
      </c>
      <c r="J5" s="35">
        <f>J4/2</f>
        <v>1608</v>
      </c>
      <c r="K5" s="49"/>
      <c r="O5" s="14">
        <f>-D30</f>
        <v>0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26000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3" si="1">B7*0.025</f>
        <v>0</v>
      </c>
      <c r="E7" s="26">
        <f t="shared" ref="E7:E29" si="2">B7*0.075</f>
        <v>0</v>
      </c>
      <c r="F7" s="25">
        <f t="shared" ref="F7:F23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57276.4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63776.4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26000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26000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26000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26000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26000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26000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26000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26000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26000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26000</v>
      </c>
      <c r="P23" s="23">
        <v>40673</v>
      </c>
      <c r="R23" s="31"/>
      <c r="U23" s="31"/>
    </row>
    <row r="24" spans="1:22">
      <c r="A24" s="23">
        <v>40096</v>
      </c>
      <c r="B24" s="98">
        <v>0</v>
      </c>
      <c r="C24" s="25">
        <f t="shared" si="0"/>
        <v>0</v>
      </c>
      <c r="D24" s="25">
        <f>B24*0.025</f>
        <v>0</v>
      </c>
      <c r="E24" s="26">
        <f>B24*0.075</f>
        <v>0</v>
      </c>
      <c r="F24" s="25">
        <f>B24*0.025</f>
        <v>0</v>
      </c>
      <c r="G24" s="27">
        <v>0</v>
      </c>
      <c r="H24" s="27">
        <v>0</v>
      </c>
      <c r="I24" s="53"/>
      <c r="J24" s="53"/>
      <c r="K24" s="53"/>
      <c r="O24" s="14">
        <f t="shared" si="4"/>
        <v>26000</v>
      </c>
      <c r="P24" s="23">
        <v>40688</v>
      </c>
      <c r="R24" s="31"/>
      <c r="U24" s="31"/>
    </row>
    <row r="25" spans="1:22">
      <c r="A25" s="23">
        <v>40111</v>
      </c>
      <c r="B25" s="98">
        <v>0</v>
      </c>
      <c r="C25" s="25">
        <f t="shared" si="0"/>
        <v>0</v>
      </c>
      <c r="D25" s="25">
        <f>B25*0.025</f>
        <v>0</v>
      </c>
      <c r="E25" s="26">
        <f>B25*0.075</f>
        <v>0</v>
      </c>
      <c r="F25" s="25">
        <f>B25*0.025</f>
        <v>0</v>
      </c>
      <c r="G25" s="27">
        <v>0</v>
      </c>
      <c r="H25" s="27">
        <v>0</v>
      </c>
      <c r="I25" s="54"/>
      <c r="J25" s="55"/>
      <c r="K25" s="54"/>
      <c r="O25" s="14">
        <f t="shared" si="4"/>
        <v>26000</v>
      </c>
      <c r="P25" s="23">
        <v>40704</v>
      </c>
      <c r="R25" s="31"/>
    </row>
    <row r="26" spans="1:22" ht="15">
      <c r="A26" s="23">
        <v>40127</v>
      </c>
      <c r="B26" s="168">
        <v>18972.05</v>
      </c>
      <c r="C26" s="167" t="s">
        <v>137</v>
      </c>
      <c r="D26" s="25">
        <v>0</v>
      </c>
      <c r="E26" s="167" t="s">
        <v>137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4"/>
        <v>26000</v>
      </c>
      <c r="P26" s="23">
        <v>40719</v>
      </c>
      <c r="R26" s="31"/>
    </row>
    <row r="27" spans="1:22" ht="15" customHeight="1">
      <c r="A27" s="23">
        <v>40142</v>
      </c>
      <c r="B27" s="98">
        <f>J5</f>
        <v>1608</v>
      </c>
      <c r="C27" s="25">
        <f t="shared" si="0"/>
        <v>120.6</v>
      </c>
      <c r="D27" s="25">
        <v>0</v>
      </c>
      <c r="E27" s="26">
        <f t="shared" si="2"/>
        <v>120.6</v>
      </c>
      <c r="F27" s="25">
        <v>0</v>
      </c>
      <c r="G27" s="27">
        <v>0</v>
      </c>
      <c r="H27" s="27">
        <v>0</v>
      </c>
      <c r="I27" s="56"/>
      <c r="J27" s="56"/>
      <c r="K27" s="56"/>
      <c r="O27" s="14">
        <f t="shared" si="4"/>
        <v>26000</v>
      </c>
      <c r="P27" s="23">
        <v>40369</v>
      </c>
      <c r="R27" s="31"/>
    </row>
    <row r="28" spans="1:22">
      <c r="A28" s="23">
        <v>40157</v>
      </c>
      <c r="B28" s="98">
        <f>J5</f>
        <v>1608</v>
      </c>
      <c r="C28" s="25">
        <f t="shared" si="0"/>
        <v>120.6</v>
      </c>
      <c r="D28" s="25">
        <v>0</v>
      </c>
      <c r="E28" s="26">
        <f t="shared" si="2"/>
        <v>120.6</v>
      </c>
      <c r="F28" s="25">
        <v>0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26000</v>
      </c>
      <c r="P28" s="23">
        <v>40384</v>
      </c>
      <c r="R28" s="89"/>
    </row>
    <row r="29" spans="1:22" ht="13.5" thickBot="1">
      <c r="A29" s="23">
        <v>39441</v>
      </c>
      <c r="B29" s="98">
        <f>J5</f>
        <v>1608</v>
      </c>
      <c r="C29" s="25">
        <f t="shared" si="0"/>
        <v>120.6</v>
      </c>
      <c r="D29" s="126">
        <v>0</v>
      </c>
      <c r="E29" s="97">
        <f t="shared" si="2"/>
        <v>120.6</v>
      </c>
      <c r="F29" s="97">
        <v>0</v>
      </c>
      <c r="G29" s="27">
        <v>0</v>
      </c>
      <c r="H29" s="27">
        <v>0</v>
      </c>
      <c r="I29" s="56"/>
      <c r="J29" s="56"/>
      <c r="K29" s="56"/>
      <c r="O29" s="14">
        <f t="shared" si="4"/>
        <v>26000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23796.05</v>
      </c>
      <c r="C30" s="59">
        <f t="shared" si="5"/>
        <v>361.79999999999995</v>
      </c>
      <c r="D30" s="94">
        <f t="shared" si="5"/>
        <v>0</v>
      </c>
      <c r="E30" s="94">
        <f t="shared" si="5"/>
        <v>361.79999999999995</v>
      </c>
      <c r="F30" s="94">
        <f t="shared" si="5"/>
        <v>0</v>
      </c>
      <c r="G30" s="59">
        <f t="shared" si="5"/>
        <v>0</v>
      </c>
      <c r="H30" s="59">
        <f t="shared" si="5"/>
        <v>0</v>
      </c>
      <c r="I30" s="44"/>
      <c r="J30" s="132"/>
      <c r="K30" s="44"/>
      <c r="O30" s="14">
        <f t="shared" si="4"/>
        <v>26000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1784.7037499999999</v>
      </c>
      <c r="D31" s="160">
        <v>0</v>
      </c>
      <c r="E31" s="64">
        <f>C31</f>
        <v>1784.7037499999999</v>
      </c>
      <c r="F31" s="64">
        <v>0</v>
      </c>
      <c r="G31" s="65"/>
      <c r="H31" s="65"/>
      <c r="I31" s="44"/>
      <c r="J31" s="132"/>
      <c r="K31" s="44"/>
      <c r="O31" s="14">
        <f t="shared" si="4"/>
        <v>26000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-1422.9037499999999</v>
      </c>
      <c r="D32" s="31">
        <f>D30-D31</f>
        <v>0</v>
      </c>
      <c r="E32" s="31">
        <f>E30-E31</f>
        <v>-1422.9037499999999</v>
      </c>
      <c r="F32" s="31">
        <f>F30-F31</f>
        <v>0</v>
      </c>
      <c r="G32" s="45"/>
      <c r="H32" s="45"/>
      <c r="I32" s="57"/>
      <c r="J32" s="57"/>
      <c r="K32" s="57"/>
      <c r="O32" s="14">
        <f t="shared" si="4"/>
        <v>26000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26000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26000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26000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26000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26000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26000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pageMargins left="0.45" right="0.4" top="1" bottom="0.72" header="0.5" footer="0.5"/>
  <pageSetup paperSize="144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496">
    <tabColor rgb="FFFF0000"/>
  </sheetPr>
  <dimension ref="A1:WVS48"/>
  <sheetViews>
    <sheetView zoomScale="85" zoomScaleNormal="85" workbookViewId="0">
      <selection activeCell="D45" sqref="D45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111</v>
      </c>
      <c r="C1" s="205"/>
      <c r="D1" s="127"/>
      <c r="E1" s="1" t="s">
        <v>1</v>
      </c>
      <c r="F1" s="2">
        <v>12</v>
      </c>
      <c r="G1" s="2"/>
      <c r="H1" s="2"/>
      <c r="I1" s="3" t="s">
        <v>2</v>
      </c>
      <c r="J1" s="4">
        <v>38292</v>
      </c>
    </row>
    <row r="2" spans="1:20" ht="15">
      <c r="A2" s="1" t="s">
        <v>4</v>
      </c>
      <c r="B2" s="206">
        <v>540921293</v>
      </c>
      <c r="C2" s="206"/>
      <c r="D2" s="128"/>
      <c r="E2"/>
      <c r="F2" s="6"/>
      <c r="G2" s="6"/>
      <c r="H2" s="6"/>
      <c r="I2" s="3" t="s">
        <v>5</v>
      </c>
      <c r="J2" s="4">
        <v>24845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">
        <f>J4*H1</f>
        <v>0</v>
      </c>
      <c r="K3" s="49"/>
      <c r="L3" s="14">
        <f>-SUM(C30+D30+E30+F30)</f>
        <v>-27936.707500000011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8">
        <v>11606.95</v>
      </c>
      <c r="K4" s="49">
        <f>J4*1.03</f>
        <v>11955.158500000001</v>
      </c>
      <c r="L4" s="19">
        <f>SUM(L2:L3)</f>
        <v>30063.292499999989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">
        <f>J4/2</f>
        <v>5803.4750000000004</v>
      </c>
      <c r="K5" s="49">
        <f>K4/2</f>
        <v>5977.5792500000007</v>
      </c>
      <c r="O5" s="14">
        <f>-D30</f>
        <v>-3522.1106249999998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22477.889374999999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5" si="1">B7*0.025</f>
        <v>0</v>
      </c>
      <c r="E7" s="26">
        <f t="shared" ref="E7:E29" si="2">B7*0.075</f>
        <v>0</v>
      </c>
      <c r="F7" s="25">
        <f t="shared" ref="F7:F25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30063.292499999989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36563.292499999989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22477.889374999999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22477.889374999999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22477.889374999999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22477.889374999999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22477.889374999999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22477.889374999999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22477.889374999999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22477.889374999999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22477.889374999999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22477.889374999999</v>
      </c>
      <c r="P23" s="23">
        <v>40673</v>
      </c>
      <c r="R23" s="31"/>
      <c r="U23" s="31"/>
    </row>
    <row r="24" spans="1:22">
      <c r="A24" s="23">
        <v>40096</v>
      </c>
      <c r="B24" s="125">
        <v>111867.16</v>
      </c>
      <c r="C24" s="125">
        <v>8269.94</v>
      </c>
      <c r="D24" s="125">
        <v>2756.71</v>
      </c>
      <c r="E24" s="125">
        <v>8269.94</v>
      </c>
      <c r="F24" s="25">
        <v>2756.71</v>
      </c>
      <c r="G24" s="125">
        <v>22230</v>
      </c>
      <c r="H24" s="27">
        <v>0</v>
      </c>
      <c r="I24" s="53"/>
      <c r="J24" s="53"/>
      <c r="K24" s="53"/>
      <c r="O24" s="14">
        <f t="shared" si="4"/>
        <v>22477.889374999999</v>
      </c>
      <c r="P24" s="23">
        <v>40688</v>
      </c>
      <c r="R24" s="31"/>
      <c r="U24" s="31"/>
    </row>
    <row r="25" spans="1:22">
      <c r="A25" s="23">
        <v>40111</v>
      </c>
      <c r="B25" s="98">
        <f>J5</f>
        <v>5803.4750000000004</v>
      </c>
      <c r="C25" s="25">
        <f t="shared" si="0"/>
        <v>435.260625</v>
      </c>
      <c r="D25" s="25">
        <f t="shared" si="1"/>
        <v>145.08687500000002</v>
      </c>
      <c r="E25" s="26">
        <f t="shared" si="2"/>
        <v>435.260625</v>
      </c>
      <c r="F25" s="25">
        <f t="shared" si="3"/>
        <v>145.08687500000002</v>
      </c>
      <c r="G25" s="27">
        <v>868.2</v>
      </c>
      <c r="H25" s="27">
        <v>0</v>
      </c>
      <c r="I25" s="54"/>
      <c r="J25" s="55"/>
      <c r="K25" s="54"/>
      <c r="O25" s="14">
        <f t="shared" si="4"/>
        <v>22477.889374999999</v>
      </c>
      <c r="P25" s="23">
        <v>40704</v>
      </c>
      <c r="R25" s="31"/>
    </row>
    <row r="26" spans="1:22">
      <c r="A26" s="23">
        <v>40127</v>
      </c>
      <c r="B26" s="98">
        <f>J5</f>
        <v>5803.4750000000004</v>
      </c>
      <c r="C26" s="25">
        <f t="shared" si="0"/>
        <v>435.260625</v>
      </c>
      <c r="D26" s="25">
        <v>0</v>
      </c>
      <c r="E26" s="26">
        <f t="shared" si="2"/>
        <v>435.260625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4"/>
        <v>22477.889374999999</v>
      </c>
      <c r="P26" s="23">
        <v>40719</v>
      </c>
      <c r="R26" s="31"/>
    </row>
    <row r="27" spans="1:22" ht="15" customHeight="1">
      <c r="A27" s="23">
        <v>40142</v>
      </c>
      <c r="B27" s="98">
        <f>J5</f>
        <v>5803.4750000000004</v>
      </c>
      <c r="C27" s="25">
        <f t="shared" si="0"/>
        <v>435.260625</v>
      </c>
      <c r="D27" s="25">
        <v>0</v>
      </c>
      <c r="E27" s="26">
        <f t="shared" si="2"/>
        <v>435.260625</v>
      </c>
      <c r="F27" s="25">
        <v>0</v>
      </c>
      <c r="G27" s="134">
        <v>-620.30999999999995</v>
      </c>
      <c r="H27" s="27">
        <v>0</v>
      </c>
      <c r="I27" s="56"/>
      <c r="J27" s="56"/>
      <c r="K27" s="56"/>
      <c r="O27" s="14">
        <f t="shared" si="4"/>
        <v>22477.889374999999</v>
      </c>
      <c r="P27" s="23">
        <v>40369</v>
      </c>
      <c r="R27" s="31"/>
    </row>
    <row r="28" spans="1:22">
      <c r="A28" s="23">
        <v>40157</v>
      </c>
      <c r="B28" s="98">
        <f>J5</f>
        <v>5803.4750000000004</v>
      </c>
      <c r="C28" s="25">
        <f t="shared" si="0"/>
        <v>435.260625</v>
      </c>
      <c r="D28" s="135">
        <f>(B28*0.025)+330.14</f>
        <v>475.22687500000001</v>
      </c>
      <c r="E28" s="26">
        <f t="shared" si="2"/>
        <v>435.260625</v>
      </c>
      <c r="F28" s="135">
        <f>(B28*0.025)+330.14</f>
        <v>475.22687500000001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22477.889374999999</v>
      </c>
      <c r="P28" s="23">
        <v>40384</v>
      </c>
      <c r="R28" s="89"/>
    </row>
    <row r="29" spans="1:22" ht="13.5" thickBot="1">
      <c r="A29" s="23">
        <v>39441</v>
      </c>
      <c r="B29" s="98">
        <f>J5</f>
        <v>5803.4750000000004</v>
      </c>
      <c r="C29" s="25">
        <f t="shared" si="0"/>
        <v>435.260625</v>
      </c>
      <c r="D29" s="25">
        <f>B29*0.025</f>
        <v>145.08687500000002</v>
      </c>
      <c r="E29" s="26">
        <f t="shared" si="2"/>
        <v>435.260625</v>
      </c>
      <c r="F29" s="25">
        <f>B29*0.025</f>
        <v>145.08687500000002</v>
      </c>
      <c r="G29" s="27">
        <v>0</v>
      </c>
      <c r="H29" s="27">
        <v>0</v>
      </c>
      <c r="I29" s="56"/>
      <c r="J29" s="56"/>
      <c r="K29" s="56"/>
      <c r="O29" s="14">
        <f t="shared" si="4"/>
        <v>22477.889374999999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140884.53500000003</v>
      </c>
      <c r="C30" s="59">
        <f t="shared" si="5"/>
        <v>10446.243125000005</v>
      </c>
      <c r="D30" s="94">
        <f t="shared" si="5"/>
        <v>3522.1106249999998</v>
      </c>
      <c r="E30" s="94">
        <f t="shared" si="5"/>
        <v>10446.243125000005</v>
      </c>
      <c r="F30" s="94">
        <f t="shared" si="5"/>
        <v>3522.1106249999998</v>
      </c>
      <c r="G30" s="59">
        <f t="shared" si="5"/>
        <v>22477.89</v>
      </c>
      <c r="H30" s="59">
        <f t="shared" si="5"/>
        <v>0</v>
      </c>
      <c r="I30" s="44"/>
      <c r="J30" s="132"/>
      <c r="K30" s="44"/>
      <c r="O30" s="14">
        <f t="shared" si="4"/>
        <v>22477.889374999999</v>
      </c>
      <c r="P30" s="23">
        <v>40415</v>
      </c>
      <c r="R30" s="89" t="s">
        <v>32</v>
      </c>
    </row>
    <row r="31" spans="1:22" ht="13.5" thickBot="1">
      <c r="A31" s="63"/>
      <c r="B31" s="64"/>
      <c r="C31" s="163">
        <f>B30*0.075</f>
        <v>10566.340125000002</v>
      </c>
      <c r="D31" s="164">
        <f>B30*0.025</f>
        <v>3522.1133750000008</v>
      </c>
      <c r="E31" s="64">
        <f>C31</f>
        <v>10566.340125000002</v>
      </c>
      <c r="F31" s="64">
        <f>D31</f>
        <v>3522.1133750000008</v>
      </c>
      <c r="G31" s="65"/>
      <c r="H31" s="65"/>
      <c r="I31" s="31"/>
      <c r="J31" s="165"/>
      <c r="K31" s="31"/>
      <c r="O31" s="14">
        <f t="shared" si="4"/>
        <v>22477.889374999999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-120.09699999999793</v>
      </c>
      <c r="D32" s="31">
        <f>D30-D31</f>
        <v>-2.7500000010149961E-3</v>
      </c>
      <c r="E32" s="31">
        <f>E30-E31</f>
        <v>-120.09699999999793</v>
      </c>
      <c r="F32" s="31">
        <f>F30-F31</f>
        <v>-2.7500000010149961E-3</v>
      </c>
      <c r="O32" s="14">
        <f t="shared" si="4"/>
        <v>22477.889374999999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247.88937499999884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-620.31062500000121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-620.31062500000121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-6.2500000126419764E-4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-6.2500000126419764E-4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-6.2500000126419764E-4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"/>
  <dimension ref="A1:A15"/>
  <sheetViews>
    <sheetView workbookViewId="0">
      <selection activeCell="B6" sqref="B6"/>
    </sheetView>
  </sheetViews>
  <sheetFormatPr defaultRowHeight="15"/>
  <sheetData>
    <row r="1" spans="1:1" ht="18.75">
      <c r="A1" s="124" t="s">
        <v>106</v>
      </c>
    </row>
    <row r="2" spans="1:1" ht="18.75">
      <c r="A2" s="124"/>
    </row>
    <row r="3" spans="1:1" ht="18.75">
      <c r="A3" s="124"/>
    </row>
    <row r="4" spans="1:1" ht="18.75">
      <c r="A4" s="124"/>
    </row>
    <row r="5" spans="1:1" ht="18.75">
      <c r="A5" s="124"/>
    </row>
    <row r="6" spans="1:1" ht="18.75">
      <c r="A6" s="124"/>
    </row>
    <row r="7" spans="1:1" ht="18.75">
      <c r="A7" s="124"/>
    </row>
    <row r="8" spans="1:1" ht="18.75">
      <c r="A8" s="124"/>
    </row>
    <row r="9" spans="1:1" ht="18.75">
      <c r="A9" s="124"/>
    </row>
    <row r="10" spans="1:1" ht="18.75">
      <c r="A10" s="124"/>
    </row>
    <row r="11" spans="1:1" ht="18.75">
      <c r="A11" s="124"/>
    </row>
    <row r="12" spans="1:1" ht="18.75">
      <c r="A12" s="124"/>
    </row>
    <row r="13" spans="1:1" ht="18.75">
      <c r="A13" s="124"/>
    </row>
    <row r="14" spans="1:1" ht="18.75">
      <c r="A14" s="124"/>
    </row>
    <row r="15" spans="1:1" ht="18.75">
      <c r="A15" s="124"/>
    </row>
  </sheetData>
  <customSheetViews>
    <customSheetView guid="{38B7F0AC-1968-4179-B248-6144E152B72B}" showPageBreaks="1" topLeftCell="A16">
      <selection activeCell="A10" sqref="A10:XFD10"/>
      <pageMargins left="0.7" right="0.7" top="0.75" bottom="0.75" header="0.3" footer="0.3"/>
      <pageSetup orientation="portrait" r:id="rId1"/>
    </customSheetView>
    <customSheetView guid="{B51D5B49-D308-4214-86D8-9F7F021478DE}" topLeftCell="A16">
      <selection activeCell="A10" sqref="A10:XFD10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00FF"/>
  </sheetPr>
  <dimension ref="A1:WVF51"/>
  <sheetViews>
    <sheetView tabSelected="1" zoomScale="145" zoomScaleNormal="145" workbookViewId="0">
      <selection activeCell="E7" sqref="E7"/>
    </sheetView>
  </sheetViews>
  <sheetFormatPr defaultRowHeight="12.75"/>
  <cols>
    <col min="1" max="1" width="20.7109375" style="5" customWidth="1"/>
    <col min="2" max="2" width="51.85546875" style="5" customWidth="1"/>
    <col min="3" max="3" width="19.42578125" style="5" customWidth="1"/>
    <col min="4" max="242" width="9.140625" style="5"/>
    <col min="243" max="243" width="10.42578125" style="5" bestFit="1" customWidth="1"/>
    <col min="244" max="244" width="13.42578125" style="5" customWidth="1"/>
    <col min="245" max="245" width="12.42578125" style="5" customWidth="1"/>
    <col min="246" max="246" width="12.5703125" style="5" customWidth="1"/>
    <col min="247" max="249" width="13" style="5" customWidth="1"/>
    <col min="250" max="250" width="14.7109375" style="5" customWidth="1"/>
    <col min="251" max="254" width="9.28515625" style="5" hidden="1" customWidth="1"/>
    <col min="255" max="258" width="11.28515625" style="5" customWidth="1"/>
    <col min="259" max="259" width="19.7109375" style="5" customWidth="1"/>
    <col min="260" max="498" width="9.140625" style="5"/>
    <col min="499" max="499" width="10.42578125" style="5" bestFit="1" customWidth="1"/>
    <col min="500" max="500" width="13.42578125" style="5" customWidth="1"/>
    <col min="501" max="501" width="12.42578125" style="5" customWidth="1"/>
    <col min="502" max="502" width="12.5703125" style="5" customWidth="1"/>
    <col min="503" max="505" width="13" style="5" customWidth="1"/>
    <col min="506" max="506" width="14.7109375" style="5" customWidth="1"/>
    <col min="507" max="510" width="9.28515625" style="5" hidden="1" customWidth="1"/>
    <col min="511" max="514" width="11.28515625" style="5" customWidth="1"/>
    <col min="515" max="515" width="19.7109375" style="5" customWidth="1"/>
    <col min="516" max="754" width="9.140625" style="5"/>
    <col min="755" max="755" width="10.42578125" style="5" bestFit="1" customWidth="1"/>
    <col min="756" max="756" width="13.42578125" style="5" customWidth="1"/>
    <col min="757" max="757" width="12.42578125" style="5" customWidth="1"/>
    <col min="758" max="758" width="12.5703125" style="5" customWidth="1"/>
    <col min="759" max="761" width="13" style="5" customWidth="1"/>
    <col min="762" max="762" width="14.7109375" style="5" customWidth="1"/>
    <col min="763" max="766" width="9.28515625" style="5" hidden="1" customWidth="1"/>
    <col min="767" max="770" width="11.28515625" style="5" customWidth="1"/>
    <col min="771" max="771" width="19.7109375" style="5" customWidth="1"/>
    <col min="772" max="1010" width="9.140625" style="5"/>
    <col min="1011" max="1011" width="10.42578125" style="5" bestFit="1" customWidth="1"/>
    <col min="1012" max="1012" width="13.42578125" style="5" customWidth="1"/>
    <col min="1013" max="1013" width="12.42578125" style="5" customWidth="1"/>
    <col min="1014" max="1014" width="12.5703125" style="5" customWidth="1"/>
    <col min="1015" max="1017" width="13" style="5" customWidth="1"/>
    <col min="1018" max="1018" width="14.7109375" style="5" customWidth="1"/>
    <col min="1019" max="1022" width="9.28515625" style="5" hidden="1" customWidth="1"/>
    <col min="1023" max="1026" width="11.28515625" style="5" customWidth="1"/>
    <col min="1027" max="1027" width="19.7109375" style="5" customWidth="1"/>
    <col min="1028" max="1266" width="9.140625" style="5"/>
    <col min="1267" max="1267" width="10.42578125" style="5" bestFit="1" customWidth="1"/>
    <col min="1268" max="1268" width="13.42578125" style="5" customWidth="1"/>
    <col min="1269" max="1269" width="12.42578125" style="5" customWidth="1"/>
    <col min="1270" max="1270" width="12.5703125" style="5" customWidth="1"/>
    <col min="1271" max="1273" width="13" style="5" customWidth="1"/>
    <col min="1274" max="1274" width="14.7109375" style="5" customWidth="1"/>
    <col min="1275" max="1278" width="9.28515625" style="5" hidden="1" customWidth="1"/>
    <col min="1279" max="1282" width="11.28515625" style="5" customWidth="1"/>
    <col min="1283" max="1283" width="19.7109375" style="5" customWidth="1"/>
    <col min="1284" max="1522" width="9.140625" style="5"/>
    <col min="1523" max="1523" width="10.42578125" style="5" bestFit="1" customWidth="1"/>
    <col min="1524" max="1524" width="13.42578125" style="5" customWidth="1"/>
    <col min="1525" max="1525" width="12.42578125" style="5" customWidth="1"/>
    <col min="1526" max="1526" width="12.5703125" style="5" customWidth="1"/>
    <col min="1527" max="1529" width="13" style="5" customWidth="1"/>
    <col min="1530" max="1530" width="14.7109375" style="5" customWidth="1"/>
    <col min="1531" max="1534" width="9.28515625" style="5" hidden="1" customWidth="1"/>
    <col min="1535" max="1538" width="11.28515625" style="5" customWidth="1"/>
    <col min="1539" max="1539" width="19.7109375" style="5" customWidth="1"/>
    <col min="1540" max="1778" width="9.140625" style="5"/>
    <col min="1779" max="1779" width="10.42578125" style="5" bestFit="1" customWidth="1"/>
    <col min="1780" max="1780" width="13.42578125" style="5" customWidth="1"/>
    <col min="1781" max="1781" width="12.42578125" style="5" customWidth="1"/>
    <col min="1782" max="1782" width="12.5703125" style="5" customWidth="1"/>
    <col min="1783" max="1785" width="13" style="5" customWidth="1"/>
    <col min="1786" max="1786" width="14.7109375" style="5" customWidth="1"/>
    <col min="1787" max="1790" width="9.28515625" style="5" hidden="1" customWidth="1"/>
    <col min="1791" max="1794" width="11.28515625" style="5" customWidth="1"/>
    <col min="1795" max="1795" width="19.7109375" style="5" customWidth="1"/>
    <col min="1796" max="2034" width="9.140625" style="5"/>
    <col min="2035" max="2035" width="10.42578125" style="5" bestFit="1" customWidth="1"/>
    <col min="2036" max="2036" width="13.42578125" style="5" customWidth="1"/>
    <col min="2037" max="2037" width="12.42578125" style="5" customWidth="1"/>
    <col min="2038" max="2038" width="12.5703125" style="5" customWidth="1"/>
    <col min="2039" max="2041" width="13" style="5" customWidth="1"/>
    <col min="2042" max="2042" width="14.7109375" style="5" customWidth="1"/>
    <col min="2043" max="2046" width="9.28515625" style="5" hidden="1" customWidth="1"/>
    <col min="2047" max="2050" width="11.28515625" style="5" customWidth="1"/>
    <col min="2051" max="2051" width="19.7109375" style="5" customWidth="1"/>
    <col min="2052" max="2290" width="9.140625" style="5"/>
    <col min="2291" max="2291" width="10.42578125" style="5" bestFit="1" customWidth="1"/>
    <col min="2292" max="2292" width="13.42578125" style="5" customWidth="1"/>
    <col min="2293" max="2293" width="12.42578125" style="5" customWidth="1"/>
    <col min="2294" max="2294" width="12.5703125" style="5" customWidth="1"/>
    <col min="2295" max="2297" width="13" style="5" customWidth="1"/>
    <col min="2298" max="2298" width="14.7109375" style="5" customWidth="1"/>
    <col min="2299" max="2302" width="9.28515625" style="5" hidden="1" customWidth="1"/>
    <col min="2303" max="2306" width="11.28515625" style="5" customWidth="1"/>
    <col min="2307" max="2307" width="19.7109375" style="5" customWidth="1"/>
    <col min="2308" max="2546" width="9.140625" style="5"/>
    <col min="2547" max="2547" width="10.42578125" style="5" bestFit="1" customWidth="1"/>
    <col min="2548" max="2548" width="13.42578125" style="5" customWidth="1"/>
    <col min="2549" max="2549" width="12.42578125" style="5" customWidth="1"/>
    <col min="2550" max="2550" width="12.5703125" style="5" customWidth="1"/>
    <col min="2551" max="2553" width="13" style="5" customWidth="1"/>
    <col min="2554" max="2554" width="14.7109375" style="5" customWidth="1"/>
    <col min="2555" max="2558" width="9.28515625" style="5" hidden="1" customWidth="1"/>
    <col min="2559" max="2562" width="11.28515625" style="5" customWidth="1"/>
    <col min="2563" max="2563" width="19.7109375" style="5" customWidth="1"/>
    <col min="2564" max="2802" width="9.140625" style="5"/>
    <col min="2803" max="2803" width="10.42578125" style="5" bestFit="1" customWidth="1"/>
    <col min="2804" max="2804" width="13.42578125" style="5" customWidth="1"/>
    <col min="2805" max="2805" width="12.42578125" style="5" customWidth="1"/>
    <col min="2806" max="2806" width="12.5703125" style="5" customWidth="1"/>
    <col min="2807" max="2809" width="13" style="5" customWidth="1"/>
    <col min="2810" max="2810" width="14.7109375" style="5" customWidth="1"/>
    <col min="2811" max="2814" width="9.28515625" style="5" hidden="1" customWidth="1"/>
    <col min="2815" max="2818" width="11.28515625" style="5" customWidth="1"/>
    <col min="2819" max="2819" width="19.7109375" style="5" customWidth="1"/>
    <col min="2820" max="3058" width="9.140625" style="5"/>
    <col min="3059" max="3059" width="10.42578125" style="5" bestFit="1" customWidth="1"/>
    <col min="3060" max="3060" width="13.42578125" style="5" customWidth="1"/>
    <col min="3061" max="3061" width="12.42578125" style="5" customWidth="1"/>
    <col min="3062" max="3062" width="12.5703125" style="5" customWidth="1"/>
    <col min="3063" max="3065" width="13" style="5" customWidth="1"/>
    <col min="3066" max="3066" width="14.7109375" style="5" customWidth="1"/>
    <col min="3067" max="3070" width="9.28515625" style="5" hidden="1" customWidth="1"/>
    <col min="3071" max="3074" width="11.28515625" style="5" customWidth="1"/>
    <col min="3075" max="3075" width="19.7109375" style="5" customWidth="1"/>
    <col min="3076" max="3314" width="9.140625" style="5"/>
    <col min="3315" max="3315" width="10.42578125" style="5" bestFit="1" customWidth="1"/>
    <col min="3316" max="3316" width="13.42578125" style="5" customWidth="1"/>
    <col min="3317" max="3317" width="12.42578125" style="5" customWidth="1"/>
    <col min="3318" max="3318" width="12.5703125" style="5" customWidth="1"/>
    <col min="3319" max="3321" width="13" style="5" customWidth="1"/>
    <col min="3322" max="3322" width="14.7109375" style="5" customWidth="1"/>
    <col min="3323" max="3326" width="9.28515625" style="5" hidden="1" customWidth="1"/>
    <col min="3327" max="3330" width="11.28515625" style="5" customWidth="1"/>
    <col min="3331" max="3331" width="19.7109375" style="5" customWidth="1"/>
    <col min="3332" max="3570" width="9.140625" style="5"/>
    <col min="3571" max="3571" width="10.42578125" style="5" bestFit="1" customWidth="1"/>
    <col min="3572" max="3572" width="13.42578125" style="5" customWidth="1"/>
    <col min="3573" max="3573" width="12.42578125" style="5" customWidth="1"/>
    <col min="3574" max="3574" width="12.5703125" style="5" customWidth="1"/>
    <col min="3575" max="3577" width="13" style="5" customWidth="1"/>
    <col min="3578" max="3578" width="14.7109375" style="5" customWidth="1"/>
    <col min="3579" max="3582" width="9.28515625" style="5" hidden="1" customWidth="1"/>
    <col min="3583" max="3586" width="11.28515625" style="5" customWidth="1"/>
    <col min="3587" max="3587" width="19.7109375" style="5" customWidth="1"/>
    <col min="3588" max="3826" width="9.140625" style="5"/>
    <col min="3827" max="3827" width="10.42578125" style="5" bestFit="1" customWidth="1"/>
    <col min="3828" max="3828" width="13.42578125" style="5" customWidth="1"/>
    <col min="3829" max="3829" width="12.42578125" style="5" customWidth="1"/>
    <col min="3830" max="3830" width="12.5703125" style="5" customWidth="1"/>
    <col min="3831" max="3833" width="13" style="5" customWidth="1"/>
    <col min="3834" max="3834" width="14.7109375" style="5" customWidth="1"/>
    <col min="3835" max="3838" width="9.28515625" style="5" hidden="1" customWidth="1"/>
    <col min="3839" max="3842" width="11.28515625" style="5" customWidth="1"/>
    <col min="3843" max="3843" width="19.7109375" style="5" customWidth="1"/>
    <col min="3844" max="4082" width="9.140625" style="5"/>
    <col min="4083" max="4083" width="10.42578125" style="5" bestFit="1" customWidth="1"/>
    <col min="4084" max="4084" width="13.42578125" style="5" customWidth="1"/>
    <col min="4085" max="4085" width="12.42578125" style="5" customWidth="1"/>
    <col min="4086" max="4086" width="12.5703125" style="5" customWidth="1"/>
    <col min="4087" max="4089" width="13" style="5" customWidth="1"/>
    <col min="4090" max="4090" width="14.7109375" style="5" customWidth="1"/>
    <col min="4091" max="4094" width="9.28515625" style="5" hidden="1" customWidth="1"/>
    <col min="4095" max="4098" width="11.28515625" style="5" customWidth="1"/>
    <col min="4099" max="4099" width="19.7109375" style="5" customWidth="1"/>
    <col min="4100" max="4338" width="9.140625" style="5"/>
    <col min="4339" max="4339" width="10.42578125" style="5" bestFit="1" customWidth="1"/>
    <col min="4340" max="4340" width="13.42578125" style="5" customWidth="1"/>
    <col min="4341" max="4341" width="12.42578125" style="5" customWidth="1"/>
    <col min="4342" max="4342" width="12.5703125" style="5" customWidth="1"/>
    <col min="4343" max="4345" width="13" style="5" customWidth="1"/>
    <col min="4346" max="4346" width="14.7109375" style="5" customWidth="1"/>
    <col min="4347" max="4350" width="9.28515625" style="5" hidden="1" customWidth="1"/>
    <col min="4351" max="4354" width="11.28515625" style="5" customWidth="1"/>
    <col min="4355" max="4355" width="19.7109375" style="5" customWidth="1"/>
    <col min="4356" max="4594" width="9.140625" style="5"/>
    <col min="4595" max="4595" width="10.42578125" style="5" bestFit="1" customWidth="1"/>
    <col min="4596" max="4596" width="13.42578125" style="5" customWidth="1"/>
    <col min="4597" max="4597" width="12.42578125" style="5" customWidth="1"/>
    <col min="4598" max="4598" width="12.5703125" style="5" customWidth="1"/>
    <col min="4599" max="4601" width="13" style="5" customWidth="1"/>
    <col min="4602" max="4602" width="14.7109375" style="5" customWidth="1"/>
    <col min="4603" max="4606" width="9.28515625" style="5" hidden="1" customWidth="1"/>
    <col min="4607" max="4610" width="11.28515625" style="5" customWidth="1"/>
    <col min="4611" max="4611" width="19.7109375" style="5" customWidth="1"/>
    <col min="4612" max="4850" width="9.140625" style="5"/>
    <col min="4851" max="4851" width="10.42578125" style="5" bestFit="1" customWidth="1"/>
    <col min="4852" max="4852" width="13.42578125" style="5" customWidth="1"/>
    <col min="4853" max="4853" width="12.42578125" style="5" customWidth="1"/>
    <col min="4854" max="4854" width="12.5703125" style="5" customWidth="1"/>
    <col min="4855" max="4857" width="13" style="5" customWidth="1"/>
    <col min="4858" max="4858" width="14.7109375" style="5" customWidth="1"/>
    <col min="4859" max="4862" width="9.28515625" style="5" hidden="1" customWidth="1"/>
    <col min="4863" max="4866" width="11.28515625" style="5" customWidth="1"/>
    <col min="4867" max="4867" width="19.7109375" style="5" customWidth="1"/>
    <col min="4868" max="5106" width="9.140625" style="5"/>
    <col min="5107" max="5107" width="10.42578125" style="5" bestFit="1" customWidth="1"/>
    <col min="5108" max="5108" width="13.42578125" style="5" customWidth="1"/>
    <col min="5109" max="5109" width="12.42578125" style="5" customWidth="1"/>
    <col min="5110" max="5110" width="12.5703125" style="5" customWidth="1"/>
    <col min="5111" max="5113" width="13" style="5" customWidth="1"/>
    <col min="5114" max="5114" width="14.7109375" style="5" customWidth="1"/>
    <col min="5115" max="5118" width="9.28515625" style="5" hidden="1" customWidth="1"/>
    <col min="5119" max="5122" width="11.28515625" style="5" customWidth="1"/>
    <col min="5123" max="5123" width="19.7109375" style="5" customWidth="1"/>
    <col min="5124" max="5362" width="9.140625" style="5"/>
    <col min="5363" max="5363" width="10.42578125" style="5" bestFit="1" customWidth="1"/>
    <col min="5364" max="5364" width="13.42578125" style="5" customWidth="1"/>
    <col min="5365" max="5365" width="12.42578125" style="5" customWidth="1"/>
    <col min="5366" max="5366" width="12.5703125" style="5" customWidth="1"/>
    <col min="5367" max="5369" width="13" style="5" customWidth="1"/>
    <col min="5370" max="5370" width="14.7109375" style="5" customWidth="1"/>
    <col min="5371" max="5374" width="9.28515625" style="5" hidden="1" customWidth="1"/>
    <col min="5375" max="5378" width="11.28515625" style="5" customWidth="1"/>
    <col min="5379" max="5379" width="19.7109375" style="5" customWidth="1"/>
    <col min="5380" max="5618" width="9.140625" style="5"/>
    <col min="5619" max="5619" width="10.42578125" style="5" bestFit="1" customWidth="1"/>
    <col min="5620" max="5620" width="13.42578125" style="5" customWidth="1"/>
    <col min="5621" max="5621" width="12.42578125" style="5" customWidth="1"/>
    <col min="5622" max="5622" width="12.5703125" style="5" customWidth="1"/>
    <col min="5623" max="5625" width="13" style="5" customWidth="1"/>
    <col min="5626" max="5626" width="14.7109375" style="5" customWidth="1"/>
    <col min="5627" max="5630" width="9.28515625" style="5" hidden="1" customWidth="1"/>
    <col min="5631" max="5634" width="11.28515625" style="5" customWidth="1"/>
    <col min="5635" max="5635" width="19.7109375" style="5" customWidth="1"/>
    <col min="5636" max="5874" width="9.140625" style="5"/>
    <col min="5875" max="5875" width="10.42578125" style="5" bestFit="1" customWidth="1"/>
    <col min="5876" max="5876" width="13.42578125" style="5" customWidth="1"/>
    <col min="5877" max="5877" width="12.42578125" style="5" customWidth="1"/>
    <col min="5878" max="5878" width="12.5703125" style="5" customWidth="1"/>
    <col min="5879" max="5881" width="13" style="5" customWidth="1"/>
    <col min="5882" max="5882" width="14.7109375" style="5" customWidth="1"/>
    <col min="5883" max="5886" width="9.28515625" style="5" hidden="1" customWidth="1"/>
    <col min="5887" max="5890" width="11.28515625" style="5" customWidth="1"/>
    <col min="5891" max="5891" width="19.7109375" style="5" customWidth="1"/>
    <col min="5892" max="6130" width="9.140625" style="5"/>
    <col min="6131" max="6131" width="10.42578125" style="5" bestFit="1" customWidth="1"/>
    <col min="6132" max="6132" width="13.42578125" style="5" customWidth="1"/>
    <col min="6133" max="6133" width="12.42578125" style="5" customWidth="1"/>
    <col min="6134" max="6134" width="12.5703125" style="5" customWidth="1"/>
    <col min="6135" max="6137" width="13" style="5" customWidth="1"/>
    <col min="6138" max="6138" width="14.7109375" style="5" customWidth="1"/>
    <col min="6139" max="6142" width="9.28515625" style="5" hidden="1" customWidth="1"/>
    <col min="6143" max="6146" width="11.28515625" style="5" customWidth="1"/>
    <col min="6147" max="6147" width="19.7109375" style="5" customWidth="1"/>
    <col min="6148" max="6386" width="9.140625" style="5"/>
    <col min="6387" max="6387" width="10.42578125" style="5" bestFit="1" customWidth="1"/>
    <col min="6388" max="6388" width="13.42578125" style="5" customWidth="1"/>
    <col min="6389" max="6389" width="12.42578125" style="5" customWidth="1"/>
    <col min="6390" max="6390" width="12.5703125" style="5" customWidth="1"/>
    <col min="6391" max="6393" width="13" style="5" customWidth="1"/>
    <col min="6394" max="6394" width="14.7109375" style="5" customWidth="1"/>
    <col min="6395" max="6398" width="9.28515625" style="5" hidden="1" customWidth="1"/>
    <col min="6399" max="6402" width="11.28515625" style="5" customWidth="1"/>
    <col min="6403" max="6403" width="19.7109375" style="5" customWidth="1"/>
    <col min="6404" max="6642" width="9.140625" style="5"/>
    <col min="6643" max="6643" width="10.42578125" style="5" bestFit="1" customWidth="1"/>
    <col min="6644" max="6644" width="13.42578125" style="5" customWidth="1"/>
    <col min="6645" max="6645" width="12.42578125" style="5" customWidth="1"/>
    <col min="6646" max="6646" width="12.5703125" style="5" customWidth="1"/>
    <col min="6647" max="6649" width="13" style="5" customWidth="1"/>
    <col min="6650" max="6650" width="14.7109375" style="5" customWidth="1"/>
    <col min="6651" max="6654" width="9.28515625" style="5" hidden="1" customWidth="1"/>
    <col min="6655" max="6658" width="11.28515625" style="5" customWidth="1"/>
    <col min="6659" max="6659" width="19.7109375" style="5" customWidth="1"/>
    <col min="6660" max="6898" width="9.140625" style="5"/>
    <col min="6899" max="6899" width="10.42578125" style="5" bestFit="1" customWidth="1"/>
    <col min="6900" max="6900" width="13.42578125" style="5" customWidth="1"/>
    <col min="6901" max="6901" width="12.42578125" style="5" customWidth="1"/>
    <col min="6902" max="6902" width="12.5703125" style="5" customWidth="1"/>
    <col min="6903" max="6905" width="13" style="5" customWidth="1"/>
    <col min="6906" max="6906" width="14.7109375" style="5" customWidth="1"/>
    <col min="6907" max="6910" width="9.28515625" style="5" hidden="1" customWidth="1"/>
    <col min="6911" max="6914" width="11.28515625" style="5" customWidth="1"/>
    <col min="6915" max="6915" width="19.7109375" style="5" customWidth="1"/>
    <col min="6916" max="7154" width="9.140625" style="5"/>
    <col min="7155" max="7155" width="10.42578125" style="5" bestFit="1" customWidth="1"/>
    <col min="7156" max="7156" width="13.42578125" style="5" customWidth="1"/>
    <col min="7157" max="7157" width="12.42578125" style="5" customWidth="1"/>
    <col min="7158" max="7158" width="12.5703125" style="5" customWidth="1"/>
    <col min="7159" max="7161" width="13" style="5" customWidth="1"/>
    <col min="7162" max="7162" width="14.7109375" style="5" customWidth="1"/>
    <col min="7163" max="7166" width="9.28515625" style="5" hidden="1" customWidth="1"/>
    <col min="7167" max="7170" width="11.28515625" style="5" customWidth="1"/>
    <col min="7171" max="7171" width="19.7109375" style="5" customWidth="1"/>
    <col min="7172" max="7410" width="9.140625" style="5"/>
    <col min="7411" max="7411" width="10.42578125" style="5" bestFit="1" customWidth="1"/>
    <col min="7412" max="7412" width="13.42578125" style="5" customWidth="1"/>
    <col min="7413" max="7413" width="12.42578125" style="5" customWidth="1"/>
    <col min="7414" max="7414" width="12.5703125" style="5" customWidth="1"/>
    <col min="7415" max="7417" width="13" style="5" customWidth="1"/>
    <col min="7418" max="7418" width="14.7109375" style="5" customWidth="1"/>
    <col min="7419" max="7422" width="9.28515625" style="5" hidden="1" customWidth="1"/>
    <col min="7423" max="7426" width="11.28515625" style="5" customWidth="1"/>
    <col min="7427" max="7427" width="19.7109375" style="5" customWidth="1"/>
    <col min="7428" max="7666" width="9.140625" style="5"/>
    <col min="7667" max="7667" width="10.42578125" style="5" bestFit="1" customWidth="1"/>
    <col min="7668" max="7668" width="13.42578125" style="5" customWidth="1"/>
    <col min="7669" max="7669" width="12.42578125" style="5" customWidth="1"/>
    <col min="7670" max="7670" width="12.5703125" style="5" customWidth="1"/>
    <col min="7671" max="7673" width="13" style="5" customWidth="1"/>
    <col min="7674" max="7674" width="14.7109375" style="5" customWidth="1"/>
    <col min="7675" max="7678" width="9.28515625" style="5" hidden="1" customWidth="1"/>
    <col min="7679" max="7682" width="11.28515625" style="5" customWidth="1"/>
    <col min="7683" max="7683" width="19.7109375" style="5" customWidth="1"/>
    <col min="7684" max="7922" width="9.140625" style="5"/>
    <col min="7923" max="7923" width="10.42578125" style="5" bestFit="1" customWidth="1"/>
    <col min="7924" max="7924" width="13.42578125" style="5" customWidth="1"/>
    <col min="7925" max="7925" width="12.42578125" style="5" customWidth="1"/>
    <col min="7926" max="7926" width="12.5703125" style="5" customWidth="1"/>
    <col min="7927" max="7929" width="13" style="5" customWidth="1"/>
    <col min="7930" max="7930" width="14.7109375" style="5" customWidth="1"/>
    <col min="7931" max="7934" width="9.28515625" style="5" hidden="1" customWidth="1"/>
    <col min="7935" max="7938" width="11.28515625" style="5" customWidth="1"/>
    <col min="7939" max="7939" width="19.7109375" style="5" customWidth="1"/>
    <col min="7940" max="8178" width="9.140625" style="5"/>
    <col min="8179" max="8179" width="10.42578125" style="5" bestFit="1" customWidth="1"/>
    <col min="8180" max="8180" width="13.42578125" style="5" customWidth="1"/>
    <col min="8181" max="8181" width="12.42578125" style="5" customWidth="1"/>
    <col min="8182" max="8182" width="12.5703125" style="5" customWidth="1"/>
    <col min="8183" max="8185" width="13" style="5" customWidth="1"/>
    <col min="8186" max="8186" width="14.7109375" style="5" customWidth="1"/>
    <col min="8187" max="8190" width="9.28515625" style="5" hidden="1" customWidth="1"/>
    <col min="8191" max="8194" width="11.28515625" style="5" customWidth="1"/>
    <col min="8195" max="8195" width="19.7109375" style="5" customWidth="1"/>
    <col min="8196" max="8434" width="9.140625" style="5"/>
    <col min="8435" max="8435" width="10.42578125" style="5" bestFit="1" customWidth="1"/>
    <col min="8436" max="8436" width="13.42578125" style="5" customWidth="1"/>
    <col min="8437" max="8437" width="12.42578125" style="5" customWidth="1"/>
    <col min="8438" max="8438" width="12.5703125" style="5" customWidth="1"/>
    <col min="8439" max="8441" width="13" style="5" customWidth="1"/>
    <col min="8442" max="8442" width="14.7109375" style="5" customWidth="1"/>
    <col min="8443" max="8446" width="9.28515625" style="5" hidden="1" customWidth="1"/>
    <col min="8447" max="8450" width="11.28515625" style="5" customWidth="1"/>
    <col min="8451" max="8451" width="19.7109375" style="5" customWidth="1"/>
    <col min="8452" max="8690" width="9.140625" style="5"/>
    <col min="8691" max="8691" width="10.42578125" style="5" bestFit="1" customWidth="1"/>
    <col min="8692" max="8692" width="13.42578125" style="5" customWidth="1"/>
    <col min="8693" max="8693" width="12.42578125" style="5" customWidth="1"/>
    <col min="8694" max="8694" width="12.5703125" style="5" customWidth="1"/>
    <col min="8695" max="8697" width="13" style="5" customWidth="1"/>
    <col min="8698" max="8698" width="14.7109375" style="5" customWidth="1"/>
    <col min="8699" max="8702" width="9.28515625" style="5" hidden="1" customWidth="1"/>
    <col min="8703" max="8706" width="11.28515625" style="5" customWidth="1"/>
    <col min="8707" max="8707" width="19.7109375" style="5" customWidth="1"/>
    <col min="8708" max="8946" width="9.140625" style="5"/>
    <col min="8947" max="8947" width="10.42578125" style="5" bestFit="1" customWidth="1"/>
    <col min="8948" max="8948" width="13.42578125" style="5" customWidth="1"/>
    <col min="8949" max="8949" width="12.42578125" style="5" customWidth="1"/>
    <col min="8950" max="8950" width="12.5703125" style="5" customWidth="1"/>
    <col min="8951" max="8953" width="13" style="5" customWidth="1"/>
    <col min="8954" max="8954" width="14.7109375" style="5" customWidth="1"/>
    <col min="8955" max="8958" width="9.28515625" style="5" hidden="1" customWidth="1"/>
    <col min="8959" max="8962" width="11.28515625" style="5" customWidth="1"/>
    <col min="8963" max="8963" width="19.7109375" style="5" customWidth="1"/>
    <col min="8964" max="9202" width="9.140625" style="5"/>
    <col min="9203" max="9203" width="10.42578125" style="5" bestFit="1" customWidth="1"/>
    <col min="9204" max="9204" width="13.42578125" style="5" customWidth="1"/>
    <col min="9205" max="9205" width="12.42578125" style="5" customWidth="1"/>
    <col min="9206" max="9206" width="12.5703125" style="5" customWidth="1"/>
    <col min="9207" max="9209" width="13" style="5" customWidth="1"/>
    <col min="9210" max="9210" width="14.7109375" style="5" customWidth="1"/>
    <col min="9211" max="9214" width="9.28515625" style="5" hidden="1" customWidth="1"/>
    <col min="9215" max="9218" width="11.28515625" style="5" customWidth="1"/>
    <col min="9219" max="9219" width="19.7109375" style="5" customWidth="1"/>
    <col min="9220" max="9458" width="9.140625" style="5"/>
    <col min="9459" max="9459" width="10.42578125" style="5" bestFit="1" customWidth="1"/>
    <col min="9460" max="9460" width="13.42578125" style="5" customWidth="1"/>
    <col min="9461" max="9461" width="12.42578125" style="5" customWidth="1"/>
    <col min="9462" max="9462" width="12.5703125" style="5" customWidth="1"/>
    <col min="9463" max="9465" width="13" style="5" customWidth="1"/>
    <col min="9466" max="9466" width="14.7109375" style="5" customWidth="1"/>
    <col min="9467" max="9470" width="9.28515625" style="5" hidden="1" customWidth="1"/>
    <col min="9471" max="9474" width="11.28515625" style="5" customWidth="1"/>
    <col min="9475" max="9475" width="19.7109375" style="5" customWidth="1"/>
    <col min="9476" max="9714" width="9.140625" style="5"/>
    <col min="9715" max="9715" width="10.42578125" style="5" bestFit="1" customWidth="1"/>
    <col min="9716" max="9716" width="13.42578125" style="5" customWidth="1"/>
    <col min="9717" max="9717" width="12.42578125" style="5" customWidth="1"/>
    <col min="9718" max="9718" width="12.5703125" style="5" customWidth="1"/>
    <col min="9719" max="9721" width="13" style="5" customWidth="1"/>
    <col min="9722" max="9722" width="14.7109375" style="5" customWidth="1"/>
    <col min="9723" max="9726" width="9.28515625" style="5" hidden="1" customWidth="1"/>
    <col min="9727" max="9730" width="11.28515625" style="5" customWidth="1"/>
    <col min="9731" max="9731" width="19.7109375" style="5" customWidth="1"/>
    <col min="9732" max="9970" width="9.140625" style="5"/>
    <col min="9971" max="9971" width="10.42578125" style="5" bestFit="1" customWidth="1"/>
    <col min="9972" max="9972" width="13.42578125" style="5" customWidth="1"/>
    <col min="9973" max="9973" width="12.42578125" style="5" customWidth="1"/>
    <col min="9974" max="9974" width="12.5703125" style="5" customWidth="1"/>
    <col min="9975" max="9977" width="13" style="5" customWidth="1"/>
    <col min="9978" max="9978" width="14.7109375" style="5" customWidth="1"/>
    <col min="9979" max="9982" width="9.28515625" style="5" hidden="1" customWidth="1"/>
    <col min="9983" max="9986" width="11.28515625" style="5" customWidth="1"/>
    <col min="9987" max="9987" width="19.7109375" style="5" customWidth="1"/>
    <col min="9988" max="10226" width="9.140625" style="5"/>
    <col min="10227" max="10227" width="10.42578125" style="5" bestFit="1" customWidth="1"/>
    <col min="10228" max="10228" width="13.42578125" style="5" customWidth="1"/>
    <col min="10229" max="10229" width="12.42578125" style="5" customWidth="1"/>
    <col min="10230" max="10230" width="12.5703125" style="5" customWidth="1"/>
    <col min="10231" max="10233" width="13" style="5" customWidth="1"/>
    <col min="10234" max="10234" width="14.7109375" style="5" customWidth="1"/>
    <col min="10235" max="10238" width="9.28515625" style="5" hidden="1" customWidth="1"/>
    <col min="10239" max="10242" width="11.28515625" style="5" customWidth="1"/>
    <col min="10243" max="10243" width="19.7109375" style="5" customWidth="1"/>
    <col min="10244" max="10482" width="9.140625" style="5"/>
    <col min="10483" max="10483" width="10.42578125" style="5" bestFit="1" customWidth="1"/>
    <col min="10484" max="10484" width="13.42578125" style="5" customWidth="1"/>
    <col min="10485" max="10485" width="12.42578125" style="5" customWidth="1"/>
    <col min="10486" max="10486" width="12.5703125" style="5" customWidth="1"/>
    <col min="10487" max="10489" width="13" style="5" customWidth="1"/>
    <col min="10490" max="10490" width="14.7109375" style="5" customWidth="1"/>
    <col min="10491" max="10494" width="9.28515625" style="5" hidden="1" customWidth="1"/>
    <col min="10495" max="10498" width="11.28515625" style="5" customWidth="1"/>
    <col min="10499" max="10499" width="19.7109375" style="5" customWidth="1"/>
    <col min="10500" max="10738" width="9.140625" style="5"/>
    <col min="10739" max="10739" width="10.42578125" style="5" bestFit="1" customWidth="1"/>
    <col min="10740" max="10740" width="13.42578125" style="5" customWidth="1"/>
    <col min="10741" max="10741" width="12.42578125" style="5" customWidth="1"/>
    <col min="10742" max="10742" width="12.5703125" style="5" customWidth="1"/>
    <col min="10743" max="10745" width="13" style="5" customWidth="1"/>
    <col min="10746" max="10746" width="14.7109375" style="5" customWidth="1"/>
    <col min="10747" max="10750" width="9.28515625" style="5" hidden="1" customWidth="1"/>
    <col min="10751" max="10754" width="11.28515625" style="5" customWidth="1"/>
    <col min="10755" max="10755" width="19.7109375" style="5" customWidth="1"/>
    <col min="10756" max="10994" width="9.140625" style="5"/>
    <col min="10995" max="10995" width="10.42578125" style="5" bestFit="1" customWidth="1"/>
    <col min="10996" max="10996" width="13.42578125" style="5" customWidth="1"/>
    <col min="10997" max="10997" width="12.42578125" style="5" customWidth="1"/>
    <col min="10998" max="10998" width="12.5703125" style="5" customWidth="1"/>
    <col min="10999" max="11001" width="13" style="5" customWidth="1"/>
    <col min="11002" max="11002" width="14.7109375" style="5" customWidth="1"/>
    <col min="11003" max="11006" width="9.28515625" style="5" hidden="1" customWidth="1"/>
    <col min="11007" max="11010" width="11.28515625" style="5" customWidth="1"/>
    <col min="11011" max="11011" width="19.7109375" style="5" customWidth="1"/>
    <col min="11012" max="11250" width="9.140625" style="5"/>
    <col min="11251" max="11251" width="10.42578125" style="5" bestFit="1" customWidth="1"/>
    <col min="11252" max="11252" width="13.42578125" style="5" customWidth="1"/>
    <col min="11253" max="11253" width="12.42578125" style="5" customWidth="1"/>
    <col min="11254" max="11254" width="12.5703125" style="5" customWidth="1"/>
    <col min="11255" max="11257" width="13" style="5" customWidth="1"/>
    <col min="11258" max="11258" width="14.7109375" style="5" customWidth="1"/>
    <col min="11259" max="11262" width="9.28515625" style="5" hidden="1" customWidth="1"/>
    <col min="11263" max="11266" width="11.28515625" style="5" customWidth="1"/>
    <col min="11267" max="11267" width="19.7109375" style="5" customWidth="1"/>
    <col min="11268" max="11506" width="9.140625" style="5"/>
    <col min="11507" max="11507" width="10.42578125" style="5" bestFit="1" customWidth="1"/>
    <col min="11508" max="11508" width="13.42578125" style="5" customWidth="1"/>
    <col min="11509" max="11509" width="12.42578125" style="5" customWidth="1"/>
    <col min="11510" max="11510" width="12.5703125" style="5" customWidth="1"/>
    <col min="11511" max="11513" width="13" style="5" customWidth="1"/>
    <col min="11514" max="11514" width="14.7109375" style="5" customWidth="1"/>
    <col min="11515" max="11518" width="9.28515625" style="5" hidden="1" customWidth="1"/>
    <col min="11519" max="11522" width="11.28515625" style="5" customWidth="1"/>
    <col min="11523" max="11523" width="19.7109375" style="5" customWidth="1"/>
    <col min="11524" max="11762" width="9.140625" style="5"/>
    <col min="11763" max="11763" width="10.42578125" style="5" bestFit="1" customWidth="1"/>
    <col min="11764" max="11764" width="13.42578125" style="5" customWidth="1"/>
    <col min="11765" max="11765" width="12.42578125" style="5" customWidth="1"/>
    <col min="11766" max="11766" width="12.5703125" style="5" customWidth="1"/>
    <col min="11767" max="11769" width="13" style="5" customWidth="1"/>
    <col min="11770" max="11770" width="14.7109375" style="5" customWidth="1"/>
    <col min="11771" max="11774" width="9.28515625" style="5" hidden="1" customWidth="1"/>
    <col min="11775" max="11778" width="11.28515625" style="5" customWidth="1"/>
    <col min="11779" max="11779" width="19.7109375" style="5" customWidth="1"/>
    <col min="11780" max="12018" width="9.140625" style="5"/>
    <col min="12019" max="12019" width="10.42578125" style="5" bestFit="1" customWidth="1"/>
    <col min="12020" max="12020" width="13.42578125" style="5" customWidth="1"/>
    <col min="12021" max="12021" width="12.42578125" style="5" customWidth="1"/>
    <col min="12022" max="12022" width="12.5703125" style="5" customWidth="1"/>
    <col min="12023" max="12025" width="13" style="5" customWidth="1"/>
    <col min="12026" max="12026" width="14.7109375" style="5" customWidth="1"/>
    <col min="12027" max="12030" width="9.28515625" style="5" hidden="1" customWidth="1"/>
    <col min="12031" max="12034" width="11.28515625" style="5" customWidth="1"/>
    <col min="12035" max="12035" width="19.7109375" style="5" customWidth="1"/>
    <col min="12036" max="12274" width="9.140625" style="5"/>
    <col min="12275" max="12275" width="10.42578125" style="5" bestFit="1" customWidth="1"/>
    <col min="12276" max="12276" width="13.42578125" style="5" customWidth="1"/>
    <col min="12277" max="12277" width="12.42578125" style="5" customWidth="1"/>
    <col min="12278" max="12278" width="12.5703125" style="5" customWidth="1"/>
    <col min="12279" max="12281" width="13" style="5" customWidth="1"/>
    <col min="12282" max="12282" width="14.7109375" style="5" customWidth="1"/>
    <col min="12283" max="12286" width="9.28515625" style="5" hidden="1" customWidth="1"/>
    <col min="12287" max="12290" width="11.28515625" style="5" customWidth="1"/>
    <col min="12291" max="12291" width="19.7109375" style="5" customWidth="1"/>
    <col min="12292" max="12530" width="9.140625" style="5"/>
    <col min="12531" max="12531" width="10.42578125" style="5" bestFit="1" customWidth="1"/>
    <col min="12532" max="12532" width="13.42578125" style="5" customWidth="1"/>
    <col min="12533" max="12533" width="12.42578125" style="5" customWidth="1"/>
    <col min="12534" max="12534" width="12.5703125" style="5" customWidth="1"/>
    <col min="12535" max="12537" width="13" style="5" customWidth="1"/>
    <col min="12538" max="12538" width="14.7109375" style="5" customWidth="1"/>
    <col min="12539" max="12542" width="9.28515625" style="5" hidden="1" customWidth="1"/>
    <col min="12543" max="12546" width="11.28515625" style="5" customWidth="1"/>
    <col min="12547" max="12547" width="19.7109375" style="5" customWidth="1"/>
    <col min="12548" max="12786" width="9.140625" style="5"/>
    <col min="12787" max="12787" width="10.42578125" style="5" bestFit="1" customWidth="1"/>
    <col min="12788" max="12788" width="13.42578125" style="5" customWidth="1"/>
    <col min="12789" max="12789" width="12.42578125" style="5" customWidth="1"/>
    <col min="12790" max="12790" width="12.5703125" style="5" customWidth="1"/>
    <col min="12791" max="12793" width="13" style="5" customWidth="1"/>
    <col min="12794" max="12794" width="14.7109375" style="5" customWidth="1"/>
    <col min="12795" max="12798" width="9.28515625" style="5" hidden="1" customWidth="1"/>
    <col min="12799" max="12802" width="11.28515625" style="5" customWidth="1"/>
    <col min="12803" max="12803" width="19.7109375" style="5" customWidth="1"/>
    <col min="12804" max="13042" width="9.140625" style="5"/>
    <col min="13043" max="13043" width="10.42578125" style="5" bestFit="1" customWidth="1"/>
    <col min="13044" max="13044" width="13.42578125" style="5" customWidth="1"/>
    <col min="13045" max="13045" width="12.42578125" style="5" customWidth="1"/>
    <col min="13046" max="13046" width="12.5703125" style="5" customWidth="1"/>
    <col min="13047" max="13049" width="13" style="5" customWidth="1"/>
    <col min="13050" max="13050" width="14.7109375" style="5" customWidth="1"/>
    <col min="13051" max="13054" width="9.28515625" style="5" hidden="1" customWidth="1"/>
    <col min="13055" max="13058" width="11.28515625" style="5" customWidth="1"/>
    <col min="13059" max="13059" width="19.7109375" style="5" customWidth="1"/>
    <col min="13060" max="13298" width="9.140625" style="5"/>
    <col min="13299" max="13299" width="10.42578125" style="5" bestFit="1" customWidth="1"/>
    <col min="13300" max="13300" width="13.42578125" style="5" customWidth="1"/>
    <col min="13301" max="13301" width="12.42578125" style="5" customWidth="1"/>
    <col min="13302" max="13302" width="12.5703125" style="5" customWidth="1"/>
    <col min="13303" max="13305" width="13" style="5" customWidth="1"/>
    <col min="13306" max="13306" width="14.7109375" style="5" customWidth="1"/>
    <col min="13307" max="13310" width="9.28515625" style="5" hidden="1" customWidth="1"/>
    <col min="13311" max="13314" width="11.28515625" style="5" customWidth="1"/>
    <col min="13315" max="13315" width="19.7109375" style="5" customWidth="1"/>
    <col min="13316" max="13554" width="9.140625" style="5"/>
    <col min="13555" max="13555" width="10.42578125" style="5" bestFit="1" customWidth="1"/>
    <col min="13556" max="13556" width="13.42578125" style="5" customWidth="1"/>
    <col min="13557" max="13557" width="12.42578125" style="5" customWidth="1"/>
    <col min="13558" max="13558" width="12.5703125" style="5" customWidth="1"/>
    <col min="13559" max="13561" width="13" style="5" customWidth="1"/>
    <col min="13562" max="13562" width="14.7109375" style="5" customWidth="1"/>
    <col min="13563" max="13566" width="9.28515625" style="5" hidden="1" customWidth="1"/>
    <col min="13567" max="13570" width="11.28515625" style="5" customWidth="1"/>
    <col min="13571" max="13571" width="19.7109375" style="5" customWidth="1"/>
    <col min="13572" max="13810" width="9.140625" style="5"/>
    <col min="13811" max="13811" width="10.42578125" style="5" bestFit="1" customWidth="1"/>
    <col min="13812" max="13812" width="13.42578125" style="5" customWidth="1"/>
    <col min="13813" max="13813" width="12.42578125" style="5" customWidth="1"/>
    <col min="13814" max="13814" width="12.5703125" style="5" customWidth="1"/>
    <col min="13815" max="13817" width="13" style="5" customWidth="1"/>
    <col min="13818" max="13818" width="14.7109375" style="5" customWidth="1"/>
    <col min="13819" max="13822" width="9.28515625" style="5" hidden="1" customWidth="1"/>
    <col min="13823" max="13826" width="11.28515625" style="5" customWidth="1"/>
    <col min="13827" max="13827" width="19.7109375" style="5" customWidth="1"/>
    <col min="13828" max="14066" width="9.140625" style="5"/>
    <col min="14067" max="14067" width="10.42578125" style="5" bestFit="1" customWidth="1"/>
    <col min="14068" max="14068" width="13.42578125" style="5" customWidth="1"/>
    <col min="14069" max="14069" width="12.42578125" style="5" customWidth="1"/>
    <col min="14070" max="14070" width="12.5703125" style="5" customWidth="1"/>
    <col min="14071" max="14073" width="13" style="5" customWidth="1"/>
    <col min="14074" max="14074" width="14.7109375" style="5" customWidth="1"/>
    <col min="14075" max="14078" width="9.28515625" style="5" hidden="1" customWidth="1"/>
    <col min="14079" max="14082" width="11.28515625" style="5" customWidth="1"/>
    <col min="14083" max="14083" width="19.7109375" style="5" customWidth="1"/>
    <col min="14084" max="14322" width="9.140625" style="5"/>
    <col min="14323" max="14323" width="10.42578125" style="5" bestFit="1" customWidth="1"/>
    <col min="14324" max="14324" width="13.42578125" style="5" customWidth="1"/>
    <col min="14325" max="14325" width="12.42578125" style="5" customWidth="1"/>
    <col min="14326" max="14326" width="12.5703125" style="5" customWidth="1"/>
    <col min="14327" max="14329" width="13" style="5" customWidth="1"/>
    <col min="14330" max="14330" width="14.7109375" style="5" customWidth="1"/>
    <col min="14331" max="14334" width="9.28515625" style="5" hidden="1" customWidth="1"/>
    <col min="14335" max="14338" width="11.28515625" style="5" customWidth="1"/>
    <col min="14339" max="14339" width="19.7109375" style="5" customWidth="1"/>
    <col min="14340" max="14578" width="9.140625" style="5"/>
    <col min="14579" max="14579" width="10.42578125" style="5" bestFit="1" customWidth="1"/>
    <col min="14580" max="14580" width="13.42578125" style="5" customWidth="1"/>
    <col min="14581" max="14581" width="12.42578125" style="5" customWidth="1"/>
    <col min="14582" max="14582" width="12.5703125" style="5" customWidth="1"/>
    <col min="14583" max="14585" width="13" style="5" customWidth="1"/>
    <col min="14586" max="14586" width="14.7109375" style="5" customWidth="1"/>
    <col min="14587" max="14590" width="9.28515625" style="5" hidden="1" customWidth="1"/>
    <col min="14591" max="14594" width="11.28515625" style="5" customWidth="1"/>
    <col min="14595" max="14595" width="19.7109375" style="5" customWidth="1"/>
    <col min="14596" max="14834" width="9.140625" style="5"/>
    <col min="14835" max="14835" width="10.42578125" style="5" bestFit="1" customWidth="1"/>
    <col min="14836" max="14836" width="13.42578125" style="5" customWidth="1"/>
    <col min="14837" max="14837" width="12.42578125" style="5" customWidth="1"/>
    <col min="14838" max="14838" width="12.5703125" style="5" customWidth="1"/>
    <col min="14839" max="14841" width="13" style="5" customWidth="1"/>
    <col min="14842" max="14842" width="14.7109375" style="5" customWidth="1"/>
    <col min="14843" max="14846" width="9.28515625" style="5" hidden="1" customWidth="1"/>
    <col min="14847" max="14850" width="11.28515625" style="5" customWidth="1"/>
    <col min="14851" max="14851" width="19.7109375" style="5" customWidth="1"/>
    <col min="14852" max="15090" width="9.140625" style="5"/>
    <col min="15091" max="15091" width="10.42578125" style="5" bestFit="1" customWidth="1"/>
    <col min="15092" max="15092" width="13.42578125" style="5" customWidth="1"/>
    <col min="15093" max="15093" width="12.42578125" style="5" customWidth="1"/>
    <col min="15094" max="15094" width="12.5703125" style="5" customWidth="1"/>
    <col min="15095" max="15097" width="13" style="5" customWidth="1"/>
    <col min="15098" max="15098" width="14.7109375" style="5" customWidth="1"/>
    <col min="15099" max="15102" width="9.28515625" style="5" hidden="1" customWidth="1"/>
    <col min="15103" max="15106" width="11.28515625" style="5" customWidth="1"/>
    <col min="15107" max="15107" width="19.7109375" style="5" customWidth="1"/>
    <col min="15108" max="15346" width="9.140625" style="5"/>
    <col min="15347" max="15347" width="10.42578125" style="5" bestFit="1" customWidth="1"/>
    <col min="15348" max="15348" width="13.42578125" style="5" customWidth="1"/>
    <col min="15349" max="15349" width="12.42578125" style="5" customWidth="1"/>
    <col min="15350" max="15350" width="12.5703125" style="5" customWidth="1"/>
    <col min="15351" max="15353" width="13" style="5" customWidth="1"/>
    <col min="15354" max="15354" width="14.7109375" style="5" customWidth="1"/>
    <col min="15355" max="15358" width="9.28515625" style="5" hidden="1" customWidth="1"/>
    <col min="15359" max="15362" width="11.28515625" style="5" customWidth="1"/>
    <col min="15363" max="15363" width="19.7109375" style="5" customWidth="1"/>
    <col min="15364" max="15602" width="9.140625" style="5"/>
    <col min="15603" max="15603" width="10.42578125" style="5" bestFit="1" customWidth="1"/>
    <col min="15604" max="15604" width="13.42578125" style="5" customWidth="1"/>
    <col min="15605" max="15605" width="12.42578125" style="5" customWidth="1"/>
    <col min="15606" max="15606" width="12.5703125" style="5" customWidth="1"/>
    <col min="15607" max="15609" width="13" style="5" customWidth="1"/>
    <col min="15610" max="15610" width="14.7109375" style="5" customWidth="1"/>
    <col min="15611" max="15614" width="9.28515625" style="5" hidden="1" customWidth="1"/>
    <col min="15615" max="15618" width="11.28515625" style="5" customWidth="1"/>
    <col min="15619" max="15619" width="19.7109375" style="5" customWidth="1"/>
    <col min="15620" max="15858" width="9.140625" style="5"/>
    <col min="15859" max="15859" width="10.42578125" style="5" bestFit="1" customWidth="1"/>
    <col min="15860" max="15860" width="13.42578125" style="5" customWidth="1"/>
    <col min="15861" max="15861" width="12.42578125" style="5" customWidth="1"/>
    <col min="15862" max="15862" width="12.5703125" style="5" customWidth="1"/>
    <col min="15863" max="15865" width="13" style="5" customWidth="1"/>
    <col min="15866" max="15866" width="14.7109375" style="5" customWidth="1"/>
    <col min="15867" max="15870" width="9.28515625" style="5" hidden="1" customWidth="1"/>
    <col min="15871" max="15874" width="11.28515625" style="5" customWidth="1"/>
    <col min="15875" max="15875" width="19.7109375" style="5" customWidth="1"/>
    <col min="15876" max="16114" width="9.140625" style="5"/>
    <col min="16115" max="16115" width="10.42578125" style="5" bestFit="1" customWidth="1"/>
    <col min="16116" max="16116" width="13.42578125" style="5" customWidth="1"/>
    <col min="16117" max="16117" width="12.42578125" style="5" customWidth="1"/>
    <col min="16118" max="16118" width="12.5703125" style="5" customWidth="1"/>
    <col min="16119" max="16121" width="13" style="5" customWidth="1"/>
    <col min="16122" max="16122" width="14.7109375" style="5" customWidth="1"/>
    <col min="16123" max="16126" width="9.28515625" style="5" hidden="1" customWidth="1"/>
    <col min="16127" max="16130" width="11.28515625" style="5" customWidth="1"/>
    <col min="16131" max="16131" width="19.7109375" style="5" customWidth="1"/>
    <col min="16132" max="16384" width="9.140625" style="5"/>
  </cols>
  <sheetData>
    <row r="1" spans="1:5" customFormat="1" ht="15" customHeight="1">
      <c r="A1" s="215"/>
      <c r="B1" s="215"/>
      <c r="C1" s="215"/>
    </row>
    <row r="2" spans="1:5" customFormat="1" ht="15" customHeight="1">
      <c r="A2" s="215"/>
      <c r="B2" s="215"/>
      <c r="C2" s="215"/>
    </row>
    <row r="3" spans="1:5" customFormat="1" ht="15" customHeight="1">
      <c r="A3" s="215"/>
      <c r="B3" s="215"/>
      <c r="C3" s="215"/>
    </row>
    <row r="4" spans="1:5" customFormat="1" ht="15" customHeight="1">
      <c r="A4" s="215"/>
      <c r="B4" s="215"/>
      <c r="C4" s="215"/>
    </row>
    <row r="5" spans="1:5" customFormat="1" ht="26.25" customHeight="1">
      <c r="A5" s="215"/>
      <c r="B5" s="215"/>
      <c r="C5" s="215"/>
    </row>
    <row r="6" spans="1:5" customFormat="1" ht="18.75" customHeight="1">
      <c r="A6" s="217" t="s">
        <v>160</v>
      </c>
      <c r="B6" s="217"/>
      <c r="C6" s="217"/>
    </row>
    <row r="7" spans="1:5" customFormat="1" ht="80.25" customHeight="1">
      <c r="A7" s="219" t="s">
        <v>161</v>
      </c>
      <c r="B7" s="219"/>
      <c r="C7" s="219"/>
    </row>
    <row r="8" spans="1:5">
      <c r="A8" s="189"/>
      <c r="B8" s="190"/>
      <c r="C8" s="190"/>
    </row>
    <row r="9" spans="1:5" ht="15" customHeight="1">
      <c r="A9" s="191" t="s">
        <v>150</v>
      </c>
      <c r="B9" s="192"/>
      <c r="C9" s="193"/>
    </row>
    <row r="10" spans="1:5" ht="15" customHeight="1">
      <c r="A10" s="194" t="s">
        <v>158</v>
      </c>
      <c r="B10" s="195"/>
      <c r="C10" s="187">
        <v>75000</v>
      </c>
    </row>
    <row r="11" spans="1:5" ht="15">
      <c r="A11" s="194" t="s">
        <v>151</v>
      </c>
      <c r="B11" s="195"/>
      <c r="C11" s="187">
        <v>0</v>
      </c>
    </row>
    <row r="12" spans="1:5" ht="15" customHeight="1">
      <c r="A12" s="194" t="s">
        <v>152</v>
      </c>
      <c r="B12" s="195"/>
      <c r="C12" s="188">
        <v>24</v>
      </c>
      <c r="E12" s="89"/>
    </row>
    <row r="13" spans="1:5" ht="15" customHeight="1">
      <c r="A13" s="194"/>
      <c r="B13" s="195"/>
      <c r="C13" s="196"/>
      <c r="E13" s="89"/>
    </row>
    <row r="14" spans="1:5" ht="15" customHeight="1">
      <c r="A14" s="194" t="s">
        <v>157</v>
      </c>
      <c r="B14" s="195"/>
      <c r="C14" s="197">
        <f>A28</f>
        <v>1447.9166666666667</v>
      </c>
      <c r="E14" s="89"/>
    </row>
    <row r="15" spans="1:5" ht="15" customHeight="1">
      <c r="A15" s="194"/>
      <c r="B15" s="195"/>
      <c r="C15" s="196"/>
      <c r="E15" s="89"/>
    </row>
    <row r="16" spans="1:5" ht="33" customHeight="1">
      <c r="A16" s="216" t="s">
        <v>154</v>
      </c>
      <c r="B16" s="216"/>
      <c r="C16" s="216"/>
      <c r="E16" s="89"/>
    </row>
    <row r="17" spans="1:7" ht="30.75" customHeight="1">
      <c r="A17" s="216" t="s">
        <v>155</v>
      </c>
      <c r="B17" s="216"/>
      <c r="C17" s="216"/>
      <c r="E17" s="89"/>
    </row>
    <row r="18" spans="1:7" ht="15" customHeight="1">
      <c r="A18" s="218"/>
      <c r="B18" s="218"/>
      <c r="C18" s="218"/>
      <c r="E18" s="89"/>
    </row>
    <row r="19" spans="1:7" ht="15" hidden="1" customHeight="1">
      <c r="A19" s="194"/>
      <c r="B19" s="195"/>
      <c r="C19" s="196"/>
      <c r="E19" s="89"/>
    </row>
    <row r="20" spans="1:7" ht="15" hidden="1" customHeight="1">
      <c r="A20" s="198" t="s">
        <v>156</v>
      </c>
      <c r="B20" s="199"/>
      <c r="C20" s="200"/>
      <c r="E20" s="89"/>
    </row>
    <row r="21" spans="1:7" ht="13.5" hidden="1" customHeight="1">
      <c r="A21" s="201">
        <f>C10</f>
        <v>75000</v>
      </c>
      <c r="B21" s="5" t="s">
        <v>145</v>
      </c>
    </row>
    <row r="22" spans="1:7" hidden="1">
      <c r="A22" s="76">
        <v>23500</v>
      </c>
      <c r="B22" s="5" t="s">
        <v>153</v>
      </c>
      <c r="E22" s="16"/>
    </row>
    <row r="23" spans="1:7" hidden="1">
      <c r="A23" s="77">
        <v>11250</v>
      </c>
      <c r="B23" s="5" t="s">
        <v>159</v>
      </c>
      <c r="C23" s="77"/>
      <c r="E23" s="16"/>
    </row>
    <row r="24" spans="1:7" hidden="1">
      <c r="A24" s="76"/>
      <c r="E24" s="16"/>
    </row>
    <row r="25" spans="1:7" ht="12" hidden="1" customHeight="1">
      <c r="A25" s="202">
        <f>C11</f>
        <v>0</v>
      </c>
      <c r="B25" s="5" t="s">
        <v>149</v>
      </c>
      <c r="C25" s="203"/>
      <c r="E25" s="16"/>
    </row>
    <row r="26" spans="1:7" hidden="1">
      <c r="A26" s="31">
        <f>A22+A23-A25</f>
        <v>34750</v>
      </c>
      <c r="B26" s="5" t="s">
        <v>146</v>
      </c>
    </row>
    <row r="27" spans="1:7" hidden="1">
      <c r="A27" s="204">
        <f>C12</f>
        <v>24</v>
      </c>
      <c r="B27" s="5" t="s">
        <v>147</v>
      </c>
      <c r="E27" s="41"/>
    </row>
    <row r="28" spans="1:7" hidden="1">
      <c r="A28" s="31">
        <f>A26/A27</f>
        <v>1447.9166666666667</v>
      </c>
      <c r="B28" s="5" t="s">
        <v>148</v>
      </c>
      <c r="E28" s="31"/>
      <c r="F28" s="31"/>
      <c r="G28" s="89"/>
    </row>
    <row r="29" spans="1:7" hidden="1">
      <c r="E29" s="89"/>
      <c r="F29" s="89"/>
    </row>
    <row r="30" spans="1:7">
      <c r="E30" s="31"/>
      <c r="F30" s="31"/>
    </row>
    <row r="31" spans="1:7">
      <c r="C31" s="31"/>
      <c r="E31" s="31"/>
    </row>
    <row r="33" spans="1:5">
      <c r="A33" s="56"/>
      <c r="B33" s="56"/>
      <c r="C33" s="48"/>
      <c r="E33" s="89" t="s">
        <v>32</v>
      </c>
    </row>
    <row r="34" spans="1:5">
      <c r="A34" s="132"/>
      <c r="B34" s="44"/>
      <c r="E34" s="89" t="s">
        <v>32</v>
      </c>
    </row>
    <row r="35" spans="1:5">
      <c r="A35" s="132"/>
      <c r="B35" s="44"/>
      <c r="E35" s="89" t="s">
        <v>32</v>
      </c>
    </row>
    <row r="36" spans="1:5">
      <c r="A36" s="57"/>
      <c r="B36" s="57"/>
      <c r="E36" s="89" t="s">
        <v>32</v>
      </c>
    </row>
    <row r="37" spans="1:5">
      <c r="A37" s="57"/>
      <c r="B37" s="57"/>
    </row>
    <row r="38" spans="1:5">
      <c r="A38" s="57"/>
      <c r="B38" s="57"/>
    </row>
    <row r="39" spans="1:5">
      <c r="A39" s="57"/>
      <c r="B39" s="57"/>
    </row>
    <row r="40" spans="1:5">
      <c r="A40" s="57"/>
      <c r="B40" s="57"/>
    </row>
    <row r="41" spans="1:5">
      <c r="A41" s="57"/>
      <c r="B41" s="57"/>
    </row>
    <row r="42" spans="1:5">
      <c r="A42" s="57"/>
      <c r="B42" s="57"/>
    </row>
    <row r="43" spans="1:5">
      <c r="A43" s="57"/>
      <c r="B43" s="57"/>
    </row>
    <row r="44" spans="1:5">
      <c r="A44" s="57"/>
      <c r="B44" s="57"/>
    </row>
    <row r="45" spans="1:5">
      <c r="A45" s="57"/>
      <c r="B45" s="57"/>
      <c r="C45" s="57"/>
    </row>
    <row r="46" spans="1:5">
      <c r="A46" s="57"/>
      <c r="B46" s="57"/>
      <c r="C46" s="57"/>
    </row>
    <row r="47" spans="1:5">
      <c r="A47" s="101"/>
      <c r="B47" s="102"/>
      <c r="C47" s="57"/>
    </row>
    <row r="48" spans="1:5">
      <c r="A48" s="101"/>
      <c r="B48" s="102"/>
      <c r="C48" s="106"/>
    </row>
    <row r="49" spans="1:3">
      <c r="A49" s="101"/>
      <c r="B49" s="105"/>
      <c r="C49" s="106"/>
    </row>
    <row r="50" spans="1:3">
      <c r="A50" s="101"/>
      <c r="B50" s="102"/>
      <c r="C50" s="106"/>
    </row>
    <row r="51" spans="1:3">
      <c r="C51" s="106"/>
    </row>
  </sheetData>
  <sheetProtection algorithmName="SHA-512" hashValue="/ioQJSOSiBXCdCPeiS/i+C+Re+gYO7qqdg2Lu+S8LIMVCjxiQpnqNNeGsPTLlkK61qH8JSZWS//62yPJzUhg+w==" saltValue="31m+6n+symB/tC3AByhjpQ==" spinCount="100000" sheet="1" objects="1" scenarios="1"/>
  <mergeCells count="6">
    <mergeCell ref="A1:C5"/>
    <mergeCell ref="A16:C16"/>
    <mergeCell ref="A6:C6"/>
    <mergeCell ref="A18:C18"/>
    <mergeCell ref="A17:C17"/>
    <mergeCell ref="A7:C7"/>
  </mergeCells>
  <pageMargins left="0.45" right="0.4" top="1" bottom="0.72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8">
    <tabColor rgb="FFFF0000"/>
  </sheetPr>
  <dimension ref="A1:WVS48"/>
  <sheetViews>
    <sheetView zoomScale="85" zoomScaleNormal="85" workbookViewId="0">
      <selection activeCell="B26" sqref="B26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47</v>
      </c>
      <c r="C1" s="205"/>
      <c r="D1" s="1" t="s">
        <v>1</v>
      </c>
      <c r="E1" s="2">
        <v>9</v>
      </c>
      <c r="F1" s="16"/>
      <c r="G1" s="16"/>
      <c r="H1" s="2"/>
      <c r="I1" s="3" t="s">
        <v>2</v>
      </c>
      <c r="J1" s="4">
        <v>36069</v>
      </c>
    </row>
    <row r="2" spans="1:20" ht="15">
      <c r="A2" s="1" t="s">
        <v>4</v>
      </c>
      <c r="B2" s="206">
        <v>154929297</v>
      </c>
      <c r="C2" s="206"/>
      <c r="D2"/>
      <c r="E2" s="6" t="s">
        <v>94</v>
      </c>
      <c r="H2" s="6"/>
      <c r="I2" s="3" t="s">
        <v>5</v>
      </c>
      <c r="J2" s="4">
        <v>25215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125">
        <v>196290.45</v>
      </c>
      <c r="K3" s="49"/>
      <c r="L3" s="14">
        <f>-SUM(C30+D30+E30+F30)</f>
        <v>-52126.093750000015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8">
        <f>J3/E1</f>
        <v>21810.050000000003</v>
      </c>
      <c r="K4" s="49"/>
      <c r="L4" s="19">
        <f>SUM(L2:L3)</f>
        <v>5873.9062499999854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">
        <f>J4/2</f>
        <v>10905.025000000001</v>
      </c>
      <c r="K5" s="49"/>
      <c r="O5" s="14">
        <f>-D30</f>
        <v>-6515.7524999999987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19484.247500000001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3" si="1">B7*0.025</f>
        <v>0</v>
      </c>
      <c r="E7" s="26">
        <f t="shared" ref="E7:E29" si="2">B7*0.075</f>
        <v>0</v>
      </c>
      <c r="F7" s="25">
        <f t="shared" ref="F7:F23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5873.9062499999854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12373.906249999985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12373.906249999985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12373.906249999985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12373.906249999985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12373.906249999985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12373.906249999985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12373.906249999985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12373.906249999985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12373.906249999985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12373.906249999985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12373.906249999985</v>
      </c>
      <c r="P23" s="23">
        <v>40673</v>
      </c>
      <c r="R23" s="31"/>
      <c r="U23" s="31"/>
    </row>
    <row r="24" spans="1:22">
      <c r="A24" s="23">
        <v>40096</v>
      </c>
      <c r="B24" s="125">
        <v>206105.04</v>
      </c>
      <c r="C24" s="125">
        <v>15457.91</v>
      </c>
      <c r="D24" s="125">
        <v>4907.24</v>
      </c>
      <c r="E24" s="26">
        <v>15457.91</v>
      </c>
      <c r="F24" s="25">
        <v>5152.7</v>
      </c>
      <c r="G24" s="125">
        <v>21092.76</v>
      </c>
      <c r="H24" s="125">
        <v>26000</v>
      </c>
      <c r="I24" s="53"/>
      <c r="J24" s="53"/>
      <c r="K24" s="53"/>
      <c r="O24" s="14">
        <f t="shared" si="4"/>
        <v>12373.906249999985</v>
      </c>
      <c r="P24" s="23">
        <v>40688</v>
      </c>
      <c r="R24" s="31"/>
      <c r="U24" s="31"/>
    </row>
    <row r="25" spans="1:22">
      <c r="A25" s="23">
        <v>40111</v>
      </c>
      <c r="B25" s="98">
        <f>J5</f>
        <v>10905.025000000001</v>
      </c>
      <c r="C25" s="25">
        <f t="shared" si="0"/>
        <v>817.87687500000004</v>
      </c>
      <c r="D25" s="25">
        <v>0</v>
      </c>
      <c r="E25" s="26">
        <f>B25*0.075</f>
        <v>817.87687500000004</v>
      </c>
      <c r="F25" s="25">
        <v>0</v>
      </c>
      <c r="G25" s="27">
        <v>-8718.93</v>
      </c>
      <c r="H25" s="27">
        <v>1083</v>
      </c>
      <c r="I25" s="54"/>
      <c r="J25" s="55"/>
      <c r="K25" s="54"/>
      <c r="O25" s="14">
        <f t="shared" si="4"/>
        <v>12373.906249999985</v>
      </c>
      <c r="P25" s="23">
        <v>40704</v>
      </c>
      <c r="R25" s="31"/>
    </row>
    <row r="26" spans="1:22">
      <c r="A26" s="23">
        <v>40127</v>
      </c>
      <c r="B26" s="98">
        <f>J5</f>
        <v>10905.025000000001</v>
      </c>
      <c r="C26" s="25">
        <f t="shared" si="0"/>
        <v>817.87687500000004</v>
      </c>
      <c r="D26" s="25">
        <f>B26*0.025</f>
        <v>272.62562500000007</v>
      </c>
      <c r="E26" s="26">
        <f t="shared" si="2"/>
        <v>817.87687500000004</v>
      </c>
      <c r="F26" s="25">
        <f>B26*0.025</f>
        <v>272.62562500000007</v>
      </c>
      <c r="G26" s="27">
        <v>-245.39</v>
      </c>
      <c r="H26" s="27">
        <v>1083</v>
      </c>
      <c r="I26" s="50"/>
      <c r="J26" s="45"/>
      <c r="K26" s="45"/>
      <c r="O26" s="14">
        <f t="shared" si="4"/>
        <v>12373.906249999985</v>
      </c>
      <c r="P26" s="23">
        <v>40719</v>
      </c>
      <c r="R26" s="31"/>
    </row>
    <row r="27" spans="1:22" ht="15" customHeight="1">
      <c r="A27" s="23">
        <v>40142</v>
      </c>
      <c r="B27" s="98">
        <f>J5</f>
        <v>10905.025000000001</v>
      </c>
      <c r="C27" s="25">
        <f t="shared" si="0"/>
        <v>817.87687500000004</v>
      </c>
      <c r="D27" s="135">
        <f>(B27*0.025)+518.01</f>
        <v>790.63562500000012</v>
      </c>
      <c r="E27" s="26">
        <f t="shared" si="2"/>
        <v>817.87687500000004</v>
      </c>
      <c r="F27" s="135">
        <f>(B27*0.025)+272.55</f>
        <v>545.17562500000008</v>
      </c>
      <c r="G27" s="134">
        <v>245.47</v>
      </c>
      <c r="H27" s="27">
        <v>1083</v>
      </c>
      <c r="I27" s="56"/>
      <c r="J27" s="56"/>
      <c r="K27" s="56"/>
      <c r="O27" s="14">
        <f t="shared" si="4"/>
        <v>12373.906249999985</v>
      </c>
      <c r="P27" s="23">
        <v>40369</v>
      </c>
      <c r="R27" s="31"/>
    </row>
    <row r="28" spans="1:22">
      <c r="A28" s="23">
        <v>40157</v>
      </c>
      <c r="B28" s="98">
        <f>J5</f>
        <v>10905.025000000001</v>
      </c>
      <c r="C28" s="25">
        <f t="shared" si="0"/>
        <v>817.87687500000004</v>
      </c>
      <c r="D28" s="25">
        <f>B28*0.025</f>
        <v>272.62562500000007</v>
      </c>
      <c r="E28" s="26">
        <f t="shared" si="2"/>
        <v>817.87687500000004</v>
      </c>
      <c r="F28" s="25">
        <f>B28*0.025</f>
        <v>272.62562500000007</v>
      </c>
      <c r="G28" s="27">
        <v>0</v>
      </c>
      <c r="H28" s="27">
        <v>1083</v>
      </c>
      <c r="I28" s="56"/>
      <c r="J28" s="56"/>
      <c r="K28" s="56"/>
      <c r="L28" s="48"/>
      <c r="M28" s="45"/>
      <c r="N28" s="46"/>
      <c r="O28" s="14">
        <f t="shared" si="4"/>
        <v>12373.906249999985</v>
      </c>
      <c r="P28" s="23">
        <v>40384</v>
      </c>
      <c r="R28" s="89"/>
    </row>
    <row r="29" spans="1:22" ht="13.5" thickBot="1">
      <c r="A29" s="23">
        <v>39441</v>
      </c>
      <c r="B29" s="98">
        <f>J5</f>
        <v>10905.025000000001</v>
      </c>
      <c r="C29" s="25">
        <f t="shared" si="0"/>
        <v>817.87687500000004</v>
      </c>
      <c r="D29" s="126">
        <f>B29*0.025</f>
        <v>272.62562500000007</v>
      </c>
      <c r="E29" s="97">
        <f t="shared" si="2"/>
        <v>817.87687500000004</v>
      </c>
      <c r="F29" s="97">
        <f>B29*0.025</f>
        <v>272.62562500000007</v>
      </c>
      <c r="G29" s="27">
        <v>0</v>
      </c>
      <c r="H29" s="27">
        <v>1083</v>
      </c>
      <c r="I29" s="56"/>
      <c r="J29" s="56"/>
      <c r="K29" s="56"/>
      <c r="O29" s="14">
        <f t="shared" si="4"/>
        <v>12373.906249999985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260630.16499999998</v>
      </c>
      <c r="C30" s="59">
        <f t="shared" si="5"/>
        <v>19547.294375000005</v>
      </c>
      <c r="D30" s="94">
        <f t="shared" si="5"/>
        <v>6515.7524999999987</v>
      </c>
      <c r="E30" s="94">
        <f t="shared" si="5"/>
        <v>19547.294375000005</v>
      </c>
      <c r="F30" s="94">
        <f t="shared" si="5"/>
        <v>6515.7524999999987</v>
      </c>
      <c r="G30" s="59">
        <f t="shared" si="5"/>
        <v>12373.909999999998</v>
      </c>
      <c r="H30" s="59">
        <f t="shared" si="5"/>
        <v>31415</v>
      </c>
      <c r="I30" s="44"/>
      <c r="J30" s="132"/>
      <c r="K30" s="44"/>
      <c r="O30" s="14">
        <f t="shared" si="4"/>
        <v>12373.906249999985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19547.262374999998</v>
      </c>
      <c r="D31" s="160">
        <f>B30*0.025</f>
        <v>6515.7541249999995</v>
      </c>
      <c r="E31" s="64">
        <f>C31</f>
        <v>19547.262374999998</v>
      </c>
      <c r="F31" s="64">
        <f>D31</f>
        <v>6515.7541249999995</v>
      </c>
      <c r="G31" s="65"/>
      <c r="H31" s="65"/>
      <c r="I31" s="44"/>
      <c r="J31" s="132"/>
      <c r="K31" s="44"/>
      <c r="O31" s="14">
        <f t="shared" si="4"/>
        <v>12373.906249999985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3.2000000006519258E-2</v>
      </c>
      <c r="D32" s="31">
        <f>D30-D31</f>
        <v>-1.6250000007858034E-3</v>
      </c>
      <c r="E32" s="31">
        <f>E30-E31</f>
        <v>3.2000000006519258E-2</v>
      </c>
      <c r="F32" s="31">
        <f>F30-F31</f>
        <v>-1.6250000007858034E-3</v>
      </c>
      <c r="G32" s="45"/>
      <c r="H32" s="45"/>
      <c r="I32" s="57"/>
      <c r="J32" s="57"/>
      <c r="K32" s="57"/>
      <c r="O32" s="14">
        <f t="shared" si="4"/>
        <v>12373.906249999985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-8718.853750000013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7.6249999987339834E-2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245.46624999998733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-3.7500000126726718E-3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-3.7500000126726718E-3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-3.7500000126726718E-3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96">
    <tabColor rgb="FFFF0000"/>
  </sheetPr>
  <dimension ref="A1:WVS48"/>
  <sheetViews>
    <sheetView zoomScale="85" zoomScaleNormal="85" workbookViewId="0">
      <selection activeCell="D34" sqref="D34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79</v>
      </c>
      <c r="C1" s="205"/>
      <c r="D1" s="1" t="s">
        <v>1</v>
      </c>
      <c r="E1" s="2">
        <v>9</v>
      </c>
      <c r="F1" s="16"/>
      <c r="G1" s="16"/>
      <c r="H1" s="2"/>
      <c r="I1" s="3" t="s">
        <v>2</v>
      </c>
      <c r="J1" s="4">
        <v>30575</v>
      </c>
    </row>
    <row r="2" spans="1:20" ht="15">
      <c r="A2" s="1" t="s">
        <v>4</v>
      </c>
      <c r="B2" s="206">
        <v>35503180</v>
      </c>
      <c r="C2" s="206"/>
      <c r="D2"/>
      <c r="E2" s="6" t="s">
        <v>94</v>
      </c>
      <c r="H2" s="6"/>
      <c r="I2" s="3" t="s">
        <v>5</v>
      </c>
      <c r="J2" s="4">
        <v>18939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125">
        <v>134197.47</v>
      </c>
      <c r="K3" s="49"/>
      <c r="L3" s="14">
        <f>-SUM(C30+D30+E30+F30)</f>
        <v>-33387.804249999994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8">
        <f>J3/E1</f>
        <v>14910.83</v>
      </c>
      <c r="K4" s="49"/>
      <c r="L4" s="19">
        <f>SUM(L2:L3)</f>
        <v>24612.195750000006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">
        <f>J4/2</f>
        <v>7455.415</v>
      </c>
      <c r="K5" s="49"/>
      <c r="O5" s="14">
        <f>-D30</f>
        <v>-4173.4614999999994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21826.538500000002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3" si="1">B7*0.025</f>
        <v>0</v>
      </c>
      <c r="E7" s="26">
        <f t="shared" ref="E7:E29" si="2">B7*0.075</f>
        <v>0</v>
      </c>
      <c r="F7" s="25">
        <f t="shared" ref="F7:F23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24612.195750000006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31112.195750000006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21826.538500000002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21826.538500000002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21826.538500000002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21826.538500000002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21826.538500000002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21826.538500000002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21826.538500000002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21826.538500000002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21826.538500000002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21826.538500000002</v>
      </c>
      <c r="P23" s="23">
        <v>40673</v>
      </c>
      <c r="R23" s="31"/>
      <c r="U23" s="31"/>
    </row>
    <row r="24" spans="1:22">
      <c r="A24" s="23">
        <v>40096</v>
      </c>
      <c r="B24" s="98">
        <v>129661.56</v>
      </c>
      <c r="C24" s="25">
        <v>9724.66</v>
      </c>
      <c r="D24" s="25">
        <v>3241.59</v>
      </c>
      <c r="E24" s="26">
        <v>9724.66</v>
      </c>
      <c r="F24" s="25">
        <v>3241.59</v>
      </c>
      <c r="G24" s="27">
        <v>22758.41</v>
      </c>
      <c r="H24" s="27">
        <v>0</v>
      </c>
      <c r="I24" s="53"/>
      <c r="J24" s="53"/>
      <c r="K24" s="53"/>
      <c r="O24" s="14">
        <f t="shared" si="4"/>
        <v>21826.538500000002</v>
      </c>
      <c r="P24" s="23">
        <v>40688</v>
      </c>
      <c r="R24" s="31"/>
      <c r="U24" s="31"/>
    </row>
    <row r="25" spans="1:22">
      <c r="A25" s="23">
        <v>40111</v>
      </c>
      <c r="B25" s="98">
        <f>J5</f>
        <v>7455.415</v>
      </c>
      <c r="C25" s="25">
        <f t="shared" si="0"/>
        <v>559.15612499999997</v>
      </c>
      <c r="D25" s="25">
        <v>0</v>
      </c>
      <c r="E25" s="26">
        <f>B25*0.075</f>
        <v>559.15612499999997</v>
      </c>
      <c r="F25" s="25">
        <v>0</v>
      </c>
      <c r="G25" s="27">
        <v>-931.93</v>
      </c>
      <c r="H25" s="27">
        <v>0</v>
      </c>
      <c r="I25" s="54"/>
      <c r="J25" s="55"/>
      <c r="K25" s="54"/>
      <c r="O25" s="14">
        <f t="shared" si="4"/>
        <v>21826.538500000002</v>
      </c>
      <c r="P25" s="23">
        <v>40704</v>
      </c>
      <c r="R25" s="31"/>
    </row>
    <row r="26" spans="1:22">
      <c r="A26" s="23">
        <v>40127</v>
      </c>
      <c r="B26" s="98">
        <f>J5</f>
        <v>7455.415</v>
      </c>
      <c r="C26" s="25">
        <f t="shared" si="0"/>
        <v>559.15612499999997</v>
      </c>
      <c r="D26" s="25">
        <f>B26*0.025</f>
        <v>186.38537500000001</v>
      </c>
      <c r="E26" s="26">
        <f t="shared" si="2"/>
        <v>559.15612499999997</v>
      </c>
      <c r="F26" s="25">
        <f>B26*0.025</f>
        <v>186.38537500000001</v>
      </c>
      <c r="G26" s="27">
        <v>-512.52</v>
      </c>
      <c r="H26" s="27">
        <v>0</v>
      </c>
      <c r="I26" s="111" t="s">
        <v>134</v>
      </c>
      <c r="J26" s="45"/>
      <c r="K26" s="45"/>
      <c r="O26" s="14">
        <f t="shared" si="4"/>
        <v>21826.538500000002</v>
      </c>
      <c r="P26" s="23">
        <v>40719</v>
      </c>
      <c r="R26" s="31"/>
    </row>
    <row r="27" spans="1:22" ht="15" customHeight="1">
      <c r="A27" s="23">
        <v>40142</v>
      </c>
      <c r="B27" s="98">
        <f>J5</f>
        <v>7455.415</v>
      </c>
      <c r="C27" s="25">
        <f t="shared" si="0"/>
        <v>559.15612499999997</v>
      </c>
      <c r="D27" s="135">
        <f>(B27*0.025)+186.33</f>
        <v>372.71537499999999</v>
      </c>
      <c r="E27" s="26">
        <f t="shared" si="2"/>
        <v>559.15612499999997</v>
      </c>
      <c r="F27" s="135">
        <f>(B27*0.025)+186.33</f>
        <v>372.71537499999999</v>
      </c>
      <c r="G27" s="134">
        <v>512.58000000000004</v>
      </c>
      <c r="H27" s="27">
        <v>0</v>
      </c>
      <c r="I27" s="56"/>
      <c r="J27" s="56"/>
      <c r="K27" s="56"/>
      <c r="O27" s="14">
        <f t="shared" si="4"/>
        <v>21826.538500000002</v>
      </c>
      <c r="P27" s="23">
        <v>40369</v>
      </c>
      <c r="R27" s="31"/>
    </row>
    <row r="28" spans="1:22">
      <c r="A28" s="23">
        <v>40157</v>
      </c>
      <c r="B28" s="98">
        <f>J5</f>
        <v>7455.415</v>
      </c>
      <c r="C28" s="25">
        <f t="shared" si="0"/>
        <v>559.15612499999997</v>
      </c>
      <c r="D28" s="25">
        <f>B28*0.025</f>
        <v>186.38537500000001</v>
      </c>
      <c r="E28" s="26">
        <f t="shared" si="2"/>
        <v>559.15612499999997</v>
      </c>
      <c r="F28" s="25">
        <f>B28*0.025</f>
        <v>186.38537500000001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21826.538500000002</v>
      </c>
      <c r="P28" s="23">
        <v>40384</v>
      </c>
      <c r="R28" s="89"/>
    </row>
    <row r="29" spans="1:22" ht="13.5" thickBot="1">
      <c r="A29" s="23">
        <v>39441</v>
      </c>
      <c r="B29" s="98">
        <f>J5</f>
        <v>7455.415</v>
      </c>
      <c r="C29" s="25">
        <f t="shared" si="0"/>
        <v>559.15612499999997</v>
      </c>
      <c r="D29" s="126">
        <f>B29*0.025</f>
        <v>186.38537500000001</v>
      </c>
      <c r="E29" s="97">
        <f t="shared" si="2"/>
        <v>559.15612499999997</v>
      </c>
      <c r="F29" s="97">
        <f>B29*0.025</f>
        <v>186.38537500000001</v>
      </c>
      <c r="G29" s="27">
        <v>0</v>
      </c>
      <c r="H29" s="27">
        <v>0</v>
      </c>
      <c r="I29" s="56"/>
      <c r="J29" s="56"/>
      <c r="K29" s="56"/>
      <c r="O29" s="14">
        <f t="shared" si="4"/>
        <v>21826.538500000002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166938.63500000004</v>
      </c>
      <c r="C30" s="59">
        <f t="shared" si="5"/>
        <v>12520.440624999997</v>
      </c>
      <c r="D30" s="94">
        <f t="shared" si="5"/>
        <v>4173.4614999999994</v>
      </c>
      <c r="E30" s="94">
        <f t="shared" si="5"/>
        <v>12520.440624999997</v>
      </c>
      <c r="F30" s="94">
        <f t="shared" si="5"/>
        <v>4173.4614999999994</v>
      </c>
      <c r="G30" s="59">
        <f t="shared" si="5"/>
        <v>21826.54</v>
      </c>
      <c r="H30" s="59">
        <f t="shared" si="5"/>
        <v>0</v>
      </c>
      <c r="I30" s="44"/>
      <c r="J30" s="132"/>
      <c r="K30" s="44"/>
      <c r="O30" s="14">
        <f t="shared" si="4"/>
        <v>21826.538500000002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12520.397625000003</v>
      </c>
      <c r="D31" s="160">
        <f>B30*0.025</f>
        <v>4173.4658750000008</v>
      </c>
      <c r="E31" s="64">
        <f>C31</f>
        <v>12520.397625000003</v>
      </c>
      <c r="F31" s="64">
        <f>D31</f>
        <v>4173.4658750000008</v>
      </c>
      <c r="G31" s="65"/>
      <c r="H31" s="65"/>
      <c r="I31" s="44"/>
      <c r="J31" s="132"/>
      <c r="K31" s="44"/>
      <c r="O31" s="14">
        <f t="shared" si="4"/>
        <v>21826.538500000002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4.2999999994208338E-2</v>
      </c>
      <c r="D32" s="31">
        <f>D30-D31</f>
        <v>-4.3750000013460522E-3</v>
      </c>
      <c r="E32" s="31">
        <f>E30-E31</f>
        <v>4.2999999994208338E-2</v>
      </c>
      <c r="F32" s="31">
        <f>F30-F31</f>
        <v>-4.3750000013460522E-3</v>
      </c>
      <c r="G32" s="45"/>
      <c r="H32" s="45"/>
      <c r="I32" s="57"/>
      <c r="J32" s="57"/>
      <c r="K32" s="57"/>
      <c r="O32" s="14">
        <f t="shared" si="4"/>
        <v>21826.538500000002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-931.87149999999747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5.8500000002482011E-2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512.57850000000246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-1.4999999975771061E-3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-1.4999999975771061E-3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-1.4999999975771061E-3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02">
    <tabColor rgb="FFFF0000"/>
  </sheetPr>
  <dimension ref="A1:WVW48"/>
  <sheetViews>
    <sheetView zoomScale="85" zoomScaleNormal="85" workbookViewId="0">
      <selection activeCell="F42" sqref="F42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2" width="12.7109375" style="5" hidden="1" customWidth="1"/>
    <col min="13" max="14" width="17.7109375" style="5" hidden="1" customWidth="1"/>
    <col min="15" max="15" width="9.28515625" style="5" hidden="1" customWidth="1"/>
    <col min="16" max="19" width="11.28515625" style="5" customWidth="1"/>
    <col min="20" max="20" width="19.7109375" style="5" customWidth="1"/>
    <col min="21" max="259" width="9.140625" style="5"/>
    <col min="260" max="260" width="10.42578125" style="5" bestFit="1" customWidth="1"/>
    <col min="261" max="261" width="13.42578125" style="5" customWidth="1"/>
    <col min="262" max="262" width="12.42578125" style="5" customWidth="1"/>
    <col min="263" max="263" width="12.5703125" style="5" customWidth="1"/>
    <col min="264" max="266" width="13" style="5" customWidth="1"/>
    <col min="267" max="267" width="14.7109375" style="5" customWidth="1"/>
    <col min="268" max="271" width="9.28515625" style="5" hidden="1" customWidth="1"/>
    <col min="272" max="275" width="11.28515625" style="5" customWidth="1"/>
    <col min="276" max="276" width="19.7109375" style="5" customWidth="1"/>
    <col min="277" max="515" width="9.140625" style="5"/>
    <col min="516" max="516" width="10.42578125" style="5" bestFit="1" customWidth="1"/>
    <col min="517" max="517" width="13.42578125" style="5" customWidth="1"/>
    <col min="518" max="518" width="12.42578125" style="5" customWidth="1"/>
    <col min="519" max="519" width="12.5703125" style="5" customWidth="1"/>
    <col min="520" max="522" width="13" style="5" customWidth="1"/>
    <col min="523" max="523" width="14.7109375" style="5" customWidth="1"/>
    <col min="524" max="527" width="9.28515625" style="5" hidden="1" customWidth="1"/>
    <col min="528" max="531" width="11.28515625" style="5" customWidth="1"/>
    <col min="532" max="532" width="19.7109375" style="5" customWidth="1"/>
    <col min="533" max="771" width="9.140625" style="5"/>
    <col min="772" max="772" width="10.42578125" style="5" bestFit="1" customWidth="1"/>
    <col min="773" max="773" width="13.42578125" style="5" customWidth="1"/>
    <col min="774" max="774" width="12.42578125" style="5" customWidth="1"/>
    <col min="775" max="775" width="12.5703125" style="5" customWidth="1"/>
    <col min="776" max="778" width="13" style="5" customWidth="1"/>
    <col min="779" max="779" width="14.7109375" style="5" customWidth="1"/>
    <col min="780" max="783" width="9.28515625" style="5" hidden="1" customWidth="1"/>
    <col min="784" max="787" width="11.28515625" style="5" customWidth="1"/>
    <col min="788" max="788" width="19.7109375" style="5" customWidth="1"/>
    <col min="789" max="1027" width="9.140625" style="5"/>
    <col min="1028" max="1028" width="10.42578125" style="5" bestFit="1" customWidth="1"/>
    <col min="1029" max="1029" width="13.42578125" style="5" customWidth="1"/>
    <col min="1030" max="1030" width="12.42578125" style="5" customWidth="1"/>
    <col min="1031" max="1031" width="12.5703125" style="5" customWidth="1"/>
    <col min="1032" max="1034" width="13" style="5" customWidth="1"/>
    <col min="1035" max="1035" width="14.7109375" style="5" customWidth="1"/>
    <col min="1036" max="1039" width="9.28515625" style="5" hidden="1" customWidth="1"/>
    <col min="1040" max="1043" width="11.28515625" style="5" customWidth="1"/>
    <col min="1044" max="1044" width="19.7109375" style="5" customWidth="1"/>
    <col min="1045" max="1283" width="9.140625" style="5"/>
    <col min="1284" max="1284" width="10.42578125" style="5" bestFit="1" customWidth="1"/>
    <col min="1285" max="1285" width="13.42578125" style="5" customWidth="1"/>
    <col min="1286" max="1286" width="12.42578125" style="5" customWidth="1"/>
    <col min="1287" max="1287" width="12.5703125" style="5" customWidth="1"/>
    <col min="1288" max="1290" width="13" style="5" customWidth="1"/>
    <col min="1291" max="1291" width="14.7109375" style="5" customWidth="1"/>
    <col min="1292" max="1295" width="9.28515625" style="5" hidden="1" customWidth="1"/>
    <col min="1296" max="1299" width="11.28515625" style="5" customWidth="1"/>
    <col min="1300" max="1300" width="19.7109375" style="5" customWidth="1"/>
    <col min="1301" max="1539" width="9.140625" style="5"/>
    <col min="1540" max="1540" width="10.42578125" style="5" bestFit="1" customWidth="1"/>
    <col min="1541" max="1541" width="13.42578125" style="5" customWidth="1"/>
    <col min="1542" max="1542" width="12.42578125" style="5" customWidth="1"/>
    <col min="1543" max="1543" width="12.5703125" style="5" customWidth="1"/>
    <col min="1544" max="1546" width="13" style="5" customWidth="1"/>
    <col min="1547" max="1547" width="14.7109375" style="5" customWidth="1"/>
    <col min="1548" max="1551" width="9.28515625" style="5" hidden="1" customWidth="1"/>
    <col min="1552" max="1555" width="11.28515625" style="5" customWidth="1"/>
    <col min="1556" max="1556" width="19.7109375" style="5" customWidth="1"/>
    <col min="1557" max="1795" width="9.140625" style="5"/>
    <col min="1796" max="1796" width="10.42578125" style="5" bestFit="1" customWidth="1"/>
    <col min="1797" max="1797" width="13.42578125" style="5" customWidth="1"/>
    <col min="1798" max="1798" width="12.42578125" style="5" customWidth="1"/>
    <col min="1799" max="1799" width="12.5703125" style="5" customWidth="1"/>
    <col min="1800" max="1802" width="13" style="5" customWidth="1"/>
    <col min="1803" max="1803" width="14.7109375" style="5" customWidth="1"/>
    <col min="1804" max="1807" width="9.28515625" style="5" hidden="1" customWidth="1"/>
    <col min="1808" max="1811" width="11.28515625" style="5" customWidth="1"/>
    <col min="1812" max="1812" width="19.7109375" style="5" customWidth="1"/>
    <col min="1813" max="2051" width="9.140625" style="5"/>
    <col min="2052" max="2052" width="10.42578125" style="5" bestFit="1" customWidth="1"/>
    <col min="2053" max="2053" width="13.42578125" style="5" customWidth="1"/>
    <col min="2054" max="2054" width="12.42578125" style="5" customWidth="1"/>
    <col min="2055" max="2055" width="12.5703125" style="5" customWidth="1"/>
    <col min="2056" max="2058" width="13" style="5" customWidth="1"/>
    <col min="2059" max="2059" width="14.7109375" style="5" customWidth="1"/>
    <col min="2060" max="2063" width="9.28515625" style="5" hidden="1" customWidth="1"/>
    <col min="2064" max="2067" width="11.28515625" style="5" customWidth="1"/>
    <col min="2068" max="2068" width="19.7109375" style="5" customWidth="1"/>
    <col min="2069" max="2307" width="9.140625" style="5"/>
    <col min="2308" max="2308" width="10.42578125" style="5" bestFit="1" customWidth="1"/>
    <col min="2309" max="2309" width="13.42578125" style="5" customWidth="1"/>
    <col min="2310" max="2310" width="12.42578125" style="5" customWidth="1"/>
    <col min="2311" max="2311" width="12.5703125" style="5" customWidth="1"/>
    <col min="2312" max="2314" width="13" style="5" customWidth="1"/>
    <col min="2315" max="2315" width="14.7109375" style="5" customWidth="1"/>
    <col min="2316" max="2319" width="9.28515625" style="5" hidden="1" customWidth="1"/>
    <col min="2320" max="2323" width="11.28515625" style="5" customWidth="1"/>
    <col min="2324" max="2324" width="19.7109375" style="5" customWidth="1"/>
    <col min="2325" max="2563" width="9.140625" style="5"/>
    <col min="2564" max="2564" width="10.42578125" style="5" bestFit="1" customWidth="1"/>
    <col min="2565" max="2565" width="13.42578125" style="5" customWidth="1"/>
    <col min="2566" max="2566" width="12.42578125" style="5" customWidth="1"/>
    <col min="2567" max="2567" width="12.5703125" style="5" customWidth="1"/>
    <col min="2568" max="2570" width="13" style="5" customWidth="1"/>
    <col min="2571" max="2571" width="14.7109375" style="5" customWidth="1"/>
    <col min="2572" max="2575" width="9.28515625" style="5" hidden="1" customWidth="1"/>
    <col min="2576" max="2579" width="11.28515625" style="5" customWidth="1"/>
    <col min="2580" max="2580" width="19.7109375" style="5" customWidth="1"/>
    <col min="2581" max="2819" width="9.140625" style="5"/>
    <col min="2820" max="2820" width="10.42578125" style="5" bestFit="1" customWidth="1"/>
    <col min="2821" max="2821" width="13.42578125" style="5" customWidth="1"/>
    <col min="2822" max="2822" width="12.42578125" style="5" customWidth="1"/>
    <col min="2823" max="2823" width="12.5703125" style="5" customWidth="1"/>
    <col min="2824" max="2826" width="13" style="5" customWidth="1"/>
    <col min="2827" max="2827" width="14.7109375" style="5" customWidth="1"/>
    <col min="2828" max="2831" width="9.28515625" style="5" hidden="1" customWidth="1"/>
    <col min="2832" max="2835" width="11.28515625" style="5" customWidth="1"/>
    <col min="2836" max="2836" width="19.7109375" style="5" customWidth="1"/>
    <col min="2837" max="3075" width="9.140625" style="5"/>
    <col min="3076" max="3076" width="10.42578125" style="5" bestFit="1" customWidth="1"/>
    <col min="3077" max="3077" width="13.42578125" style="5" customWidth="1"/>
    <col min="3078" max="3078" width="12.42578125" style="5" customWidth="1"/>
    <col min="3079" max="3079" width="12.5703125" style="5" customWidth="1"/>
    <col min="3080" max="3082" width="13" style="5" customWidth="1"/>
    <col min="3083" max="3083" width="14.7109375" style="5" customWidth="1"/>
    <col min="3084" max="3087" width="9.28515625" style="5" hidden="1" customWidth="1"/>
    <col min="3088" max="3091" width="11.28515625" style="5" customWidth="1"/>
    <col min="3092" max="3092" width="19.7109375" style="5" customWidth="1"/>
    <col min="3093" max="3331" width="9.140625" style="5"/>
    <col min="3332" max="3332" width="10.42578125" style="5" bestFit="1" customWidth="1"/>
    <col min="3333" max="3333" width="13.42578125" style="5" customWidth="1"/>
    <col min="3334" max="3334" width="12.42578125" style="5" customWidth="1"/>
    <col min="3335" max="3335" width="12.5703125" style="5" customWidth="1"/>
    <col min="3336" max="3338" width="13" style="5" customWidth="1"/>
    <col min="3339" max="3339" width="14.7109375" style="5" customWidth="1"/>
    <col min="3340" max="3343" width="9.28515625" style="5" hidden="1" customWidth="1"/>
    <col min="3344" max="3347" width="11.28515625" style="5" customWidth="1"/>
    <col min="3348" max="3348" width="19.7109375" style="5" customWidth="1"/>
    <col min="3349" max="3587" width="9.140625" style="5"/>
    <col min="3588" max="3588" width="10.42578125" style="5" bestFit="1" customWidth="1"/>
    <col min="3589" max="3589" width="13.42578125" style="5" customWidth="1"/>
    <col min="3590" max="3590" width="12.42578125" style="5" customWidth="1"/>
    <col min="3591" max="3591" width="12.5703125" style="5" customWidth="1"/>
    <col min="3592" max="3594" width="13" style="5" customWidth="1"/>
    <col min="3595" max="3595" width="14.7109375" style="5" customWidth="1"/>
    <col min="3596" max="3599" width="9.28515625" style="5" hidden="1" customWidth="1"/>
    <col min="3600" max="3603" width="11.28515625" style="5" customWidth="1"/>
    <col min="3604" max="3604" width="19.7109375" style="5" customWidth="1"/>
    <col min="3605" max="3843" width="9.140625" style="5"/>
    <col min="3844" max="3844" width="10.42578125" style="5" bestFit="1" customWidth="1"/>
    <col min="3845" max="3845" width="13.42578125" style="5" customWidth="1"/>
    <col min="3846" max="3846" width="12.42578125" style="5" customWidth="1"/>
    <col min="3847" max="3847" width="12.5703125" style="5" customWidth="1"/>
    <col min="3848" max="3850" width="13" style="5" customWidth="1"/>
    <col min="3851" max="3851" width="14.7109375" style="5" customWidth="1"/>
    <col min="3852" max="3855" width="9.28515625" style="5" hidden="1" customWidth="1"/>
    <col min="3856" max="3859" width="11.28515625" style="5" customWidth="1"/>
    <col min="3860" max="3860" width="19.7109375" style="5" customWidth="1"/>
    <col min="3861" max="4099" width="9.140625" style="5"/>
    <col min="4100" max="4100" width="10.42578125" style="5" bestFit="1" customWidth="1"/>
    <col min="4101" max="4101" width="13.42578125" style="5" customWidth="1"/>
    <col min="4102" max="4102" width="12.42578125" style="5" customWidth="1"/>
    <col min="4103" max="4103" width="12.5703125" style="5" customWidth="1"/>
    <col min="4104" max="4106" width="13" style="5" customWidth="1"/>
    <col min="4107" max="4107" width="14.7109375" style="5" customWidth="1"/>
    <col min="4108" max="4111" width="9.28515625" style="5" hidden="1" customWidth="1"/>
    <col min="4112" max="4115" width="11.28515625" style="5" customWidth="1"/>
    <col min="4116" max="4116" width="19.7109375" style="5" customWidth="1"/>
    <col min="4117" max="4355" width="9.140625" style="5"/>
    <col min="4356" max="4356" width="10.42578125" style="5" bestFit="1" customWidth="1"/>
    <col min="4357" max="4357" width="13.42578125" style="5" customWidth="1"/>
    <col min="4358" max="4358" width="12.42578125" style="5" customWidth="1"/>
    <col min="4359" max="4359" width="12.5703125" style="5" customWidth="1"/>
    <col min="4360" max="4362" width="13" style="5" customWidth="1"/>
    <col min="4363" max="4363" width="14.7109375" style="5" customWidth="1"/>
    <col min="4364" max="4367" width="9.28515625" style="5" hidden="1" customWidth="1"/>
    <col min="4368" max="4371" width="11.28515625" style="5" customWidth="1"/>
    <col min="4372" max="4372" width="19.7109375" style="5" customWidth="1"/>
    <col min="4373" max="4611" width="9.140625" style="5"/>
    <col min="4612" max="4612" width="10.42578125" style="5" bestFit="1" customWidth="1"/>
    <col min="4613" max="4613" width="13.42578125" style="5" customWidth="1"/>
    <col min="4614" max="4614" width="12.42578125" style="5" customWidth="1"/>
    <col min="4615" max="4615" width="12.5703125" style="5" customWidth="1"/>
    <col min="4616" max="4618" width="13" style="5" customWidth="1"/>
    <col min="4619" max="4619" width="14.7109375" style="5" customWidth="1"/>
    <col min="4620" max="4623" width="9.28515625" style="5" hidden="1" customWidth="1"/>
    <col min="4624" max="4627" width="11.28515625" style="5" customWidth="1"/>
    <col min="4628" max="4628" width="19.7109375" style="5" customWidth="1"/>
    <col min="4629" max="4867" width="9.140625" style="5"/>
    <col min="4868" max="4868" width="10.42578125" style="5" bestFit="1" customWidth="1"/>
    <col min="4869" max="4869" width="13.42578125" style="5" customWidth="1"/>
    <col min="4870" max="4870" width="12.42578125" style="5" customWidth="1"/>
    <col min="4871" max="4871" width="12.5703125" style="5" customWidth="1"/>
    <col min="4872" max="4874" width="13" style="5" customWidth="1"/>
    <col min="4875" max="4875" width="14.7109375" style="5" customWidth="1"/>
    <col min="4876" max="4879" width="9.28515625" style="5" hidden="1" customWidth="1"/>
    <col min="4880" max="4883" width="11.28515625" style="5" customWidth="1"/>
    <col min="4884" max="4884" width="19.7109375" style="5" customWidth="1"/>
    <col min="4885" max="5123" width="9.140625" style="5"/>
    <col min="5124" max="5124" width="10.42578125" style="5" bestFit="1" customWidth="1"/>
    <col min="5125" max="5125" width="13.42578125" style="5" customWidth="1"/>
    <col min="5126" max="5126" width="12.42578125" style="5" customWidth="1"/>
    <col min="5127" max="5127" width="12.5703125" style="5" customWidth="1"/>
    <col min="5128" max="5130" width="13" style="5" customWidth="1"/>
    <col min="5131" max="5131" width="14.7109375" style="5" customWidth="1"/>
    <col min="5132" max="5135" width="9.28515625" style="5" hidden="1" customWidth="1"/>
    <col min="5136" max="5139" width="11.28515625" style="5" customWidth="1"/>
    <col min="5140" max="5140" width="19.7109375" style="5" customWidth="1"/>
    <col min="5141" max="5379" width="9.140625" style="5"/>
    <col min="5380" max="5380" width="10.42578125" style="5" bestFit="1" customWidth="1"/>
    <col min="5381" max="5381" width="13.42578125" style="5" customWidth="1"/>
    <col min="5382" max="5382" width="12.42578125" style="5" customWidth="1"/>
    <col min="5383" max="5383" width="12.5703125" style="5" customWidth="1"/>
    <col min="5384" max="5386" width="13" style="5" customWidth="1"/>
    <col min="5387" max="5387" width="14.7109375" style="5" customWidth="1"/>
    <col min="5388" max="5391" width="9.28515625" style="5" hidden="1" customWidth="1"/>
    <col min="5392" max="5395" width="11.28515625" style="5" customWidth="1"/>
    <col min="5396" max="5396" width="19.7109375" style="5" customWidth="1"/>
    <col min="5397" max="5635" width="9.140625" style="5"/>
    <col min="5636" max="5636" width="10.42578125" style="5" bestFit="1" customWidth="1"/>
    <col min="5637" max="5637" width="13.42578125" style="5" customWidth="1"/>
    <col min="5638" max="5638" width="12.42578125" style="5" customWidth="1"/>
    <col min="5639" max="5639" width="12.5703125" style="5" customWidth="1"/>
    <col min="5640" max="5642" width="13" style="5" customWidth="1"/>
    <col min="5643" max="5643" width="14.7109375" style="5" customWidth="1"/>
    <col min="5644" max="5647" width="9.28515625" style="5" hidden="1" customWidth="1"/>
    <col min="5648" max="5651" width="11.28515625" style="5" customWidth="1"/>
    <col min="5652" max="5652" width="19.7109375" style="5" customWidth="1"/>
    <col min="5653" max="5891" width="9.140625" style="5"/>
    <col min="5892" max="5892" width="10.42578125" style="5" bestFit="1" customWidth="1"/>
    <col min="5893" max="5893" width="13.42578125" style="5" customWidth="1"/>
    <col min="5894" max="5894" width="12.42578125" style="5" customWidth="1"/>
    <col min="5895" max="5895" width="12.5703125" style="5" customWidth="1"/>
    <col min="5896" max="5898" width="13" style="5" customWidth="1"/>
    <col min="5899" max="5899" width="14.7109375" style="5" customWidth="1"/>
    <col min="5900" max="5903" width="9.28515625" style="5" hidden="1" customWidth="1"/>
    <col min="5904" max="5907" width="11.28515625" style="5" customWidth="1"/>
    <col min="5908" max="5908" width="19.7109375" style="5" customWidth="1"/>
    <col min="5909" max="6147" width="9.140625" style="5"/>
    <col min="6148" max="6148" width="10.42578125" style="5" bestFit="1" customWidth="1"/>
    <col min="6149" max="6149" width="13.42578125" style="5" customWidth="1"/>
    <col min="6150" max="6150" width="12.42578125" style="5" customWidth="1"/>
    <col min="6151" max="6151" width="12.5703125" style="5" customWidth="1"/>
    <col min="6152" max="6154" width="13" style="5" customWidth="1"/>
    <col min="6155" max="6155" width="14.7109375" style="5" customWidth="1"/>
    <col min="6156" max="6159" width="9.28515625" style="5" hidden="1" customWidth="1"/>
    <col min="6160" max="6163" width="11.28515625" style="5" customWidth="1"/>
    <col min="6164" max="6164" width="19.7109375" style="5" customWidth="1"/>
    <col min="6165" max="6403" width="9.140625" style="5"/>
    <col min="6404" max="6404" width="10.42578125" style="5" bestFit="1" customWidth="1"/>
    <col min="6405" max="6405" width="13.42578125" style="5" customWidth="1"/>
    <col min="6406" max="6406" width="12.42578125" style="5" customWidth="1"/>
    <col min="6407" max="6407" width="12.5703125" style="5" customWidth="1"/>
    <col min="6408" max="6410" width="13" style="5" customWidth="1"/>
    <col min="6411" max="6411" width="14.7109375" style="5" customWidth="1"/>
    <col min="6412" max="6415" width="9.28515625" style="5" hidden="1" customWidth="1"/>
    <col min="6416" max="6419" width="11.28515625" style="5" customWidth="1"/>
    <col min="6420" max="6420" width="19.7109375" style="5" customWidth="1"/>
    <col min="6421" max="6659" width="9.140625" style="5"/>
    <col min="6660" max="6660" width="10.42578125" style="5" bestFit="1" customWidth="1"/>
    <col min="6661" max="6661" width="13.42578125" style="5" customWidth="1"/>
    <col min="6662" max="6662" width="12.42578125" style="5" customWidth="1"/>
    <col min="6663" max="6663" width="12.5703125" style="5" customWidth="1"/>
    <col min="6664" max="6666" width="13" style="5" customWidth="1"/>
    <col min="6667" max="6667" width="14.7109375" style="5" customWidth="1"/>
    <col min="6668" max="6671" width="9.28515625" style="5" hidden="1" customWidth="1"/>
    <col min="6672" max="6675" width="11.28515625" style="5" customWidth="1"/>
    <col min="6676" max="6676" width="19.7109375" style="5" customWidth="1"/>
    <col min="6677" max="6915" width="9.140625" style="5"/>
    <col min="6916" max="6916" width="10.42578125" style="5" bestFit="1" customWidth="1"/>
    <col min="6917" max="6917" width="13.42578125" style="5" customWidth="1"/>
    <col min="6918" max="6918" width="12.42578125" style="5" customWidth="1"/>
    <col min="6919" max="6919" width="12.5703125" style="5" customWidth="1"/>
    <col min="6920" max="6922" width="13" style="5" customWidth="1"/>
    <col min="6923" max="6923" width="14.7109375" style="5" customWidth="1"/>
    <col min="6924" max="6927" width="9.28515625" style="5" hidden="1" customWidth="1"/>
    <col min="6928" max="6931" width="11.28515625" style="5" customWidth="1"/>
    <col min="6932" max="6932" width="19.7109375" style="5" customWidth="1"/>
    <col min="6933" max="7171" width="9.140625" style="5"/>
    <col min="7172" max="7172" width="10.42578125" style="5" bestFit="1" customWidth="1"/>
    <col min="7173" max="7173" width="13.42578125" style="5" customWidth="1"/>
    <col min="7174" max="7174" width="12.42578125" style="5" customWidth="1"/>
    <col min="7175" max="7175" width="12.5703125" style="5" customWidth="1"/>
    <col min="7176" max="7178" width="13" style="5" customWidth="1"/>
    <col min="7179" max="7179" width="14.7109375" style="5" customWidth="1"/>
    <col min="7180" max="7183" width="9.28515625" style="5" hidden="1" customWidth="1"/>
    <col min="7184" max="7187" width="11.28515625" style="5" customWidth="1"/>
    <col min="7188" max="7188" width="19.7109375" style="5" customWidth="1"/>
    <col min="7189" max="7427" width="9.140625" style="5"/>
    <col min="7428" max="7428" width="10.42578125" style="5" bestFit="1" customWidth="1"/>
    <col min="7429" max="7429" width="13.42578125" style="5" customWidth="1"/>
    <col min="7430" max="7430" width="12.42578125" style="5" customWidth="1"/>
    <col min="7431" max="7431" width="12.5703125" style="5" customWidth="1"/>
    <col min="7432" max="7434" width="13" style="5" customWidth="1"/>
    <col min="7435" max="7435" width="14.7109375" style="5" customWidth="1"/>
    <col min="7436" max="7439" width="9.28515625" style="5" hidden="1" customWidth="1"/>
    <col min="7440" max="7443" width="11.28515625" style="5" customWidth="1"/>
    <col min="7444" max="7444" width="19.7109375" style="5" customWidth="1"/>
    <col min="7445" max="7683" width="9.140625" style="5"/>
    <col min="7684" max="7684" width="10.42578125" style="5" bestFit="1" customWidth="1"/>
    <col min="7685" max="7685" width="13.42578125" style="5" customWidth="1"/>
    <col min="7686" max="7686" width="12.42578125" style="5" customWidth="1"/>
    <col min="7687" max="7687" width="12.5703125" style="5" customWidth="1"/>
    <col min="7688" max="7690" width="13" style="5" customWidth="1"/>
    <col min="7691" max="7691" width="14.7109375" style="5" customWidth="1"/>
    <col min="7692" max="7695" width="9.28515625" style="5" hidden="1" customWidth="1"/>
    <col min="7696" max="7699" width="11.28515625" style="5" customWidth="1"/>
    <col min="7700" max="7700" width="19.7109375" style="5" customWidth="1"/>
    <col min="7701" max="7939" width="9.140625" style="5"/>
    <col min="7940" max="7940" width="10.42578125" style="5" bestFit="1" customWidth="1"/>
    <col min="7941" max="7941" width="13.42578125" style="5" customWidth="1"/>
    <col min="7942" max="7942" width="12.42578125" style="5" customWidth="1"/>
    <col min="7943" max="7943" width="12.5703125" style="5" customWidth="1"/>
    <col min="7944" max="7946" width="13" style="5" customWidth="1"/>
    <col min="7947" max="7947" width="14.7109375" style="5" customWidth="1"/>
    <col min="7948" max="7951" width="9.28515625" style="5" hidden="1" customWidth="1"/>
    <col min="7952" max="7955" width="11.28515625" style="5" customWidth="1"/>
    <col min="7956" max="7956" width="19.7109375" style="5" customWidth="1"/>
    <col min="7957" max="8195" width="9.140625" style="5"/>
    <col min="8196" max="8196" width="10.42578125" style="5" bestFit="1" customWidth="1"/>
    <col min="8197" max="8197" width="13.42578125" style="5" customWidth="1"/>
    <col min="8198" max="8198" width="12.42578125" style="5" customWidth="1"/>
    <col min="8199" max="8199" width="12.5703125" style="5" customWidth="1"/>
    <col min="8200" max="8202" width="13" style="5" customWidth="1"/>
    <col min="8203" max="8203" width="14.7109375" style="5" customWidth="1"/>
    <col min="8204" max="8207" width="9.28515625" style="5" hidden="1" customWidth="1"/>
    <col min="8208" max="8211" width="11.28515625" style="5" customWidth="1"/>
    <col min="8212" max="8212" width="19.7109375" style="5" customWidth="1"/>
    <col min="8213" max="8451" width="9.140625" style="5"/>
    <col min="8452" max="8452" width="10.42578125" style="5" bestFit="1" customWidth="1"/>
    <col min="8453" max="8453" width="13.42578125" style="5" customWidth="1"/>
    <col min="8454" max="8454" width="12.42578125" style="5" customWidth="1"/>
    <col min="8455" max="8455" width="12.5703125" style="5" customWidth="1"/>
    <col min="8456" max="8458" width="13" style="5" customWidth="1"/>
    <col min="8459" max="8459" width="14.7109375" style="5" customWidth="1"/>
    <col min="8460" max="8463" width="9.28515625" style="5" hidden="1" customWidth="1"/>
    <col min="8464" max="8467" width="11.28515625" style="5" customWidth="1"/>
    <col min="8468" max="8468" width="19.7109375" style="5" customWidth="1"/>
    <col min="8469" max="8707" width="9.140625" style="5"/>
    <col min="8708" max="8708" width="10.42578125" style="5" bestFit="1" customWidth="1"/>
    <col min="8709" max="8709" width="13.42578125" style="5" customWidth="1"/>
    <col min="8710" max="8710" width="12.42578125" style="5" customWidth="1"/>
    <col min="8711" max="8711" width="12.5703125" style="5" customWidth="1"/>
    <col min="8712" max="8714" width="13" style="5" customWidth="1"/>
    <col min="8715" max="8715" width="14.7109375" style="5" customWidth="1"/>
    <col min="8716" max="8719" width="9.28515625" style="5" hidden="1" customWidth="1"/>
    <col min="8720" max="8723" width="11.28515625" style="5" customWidth="1"/>
    <col min="8724" max="8724" width="19.7109375" style="5" customWidth="1"/>
    <col min="8725" max="8963" width="9.140625" style="5"/>
    <col min="8964" max="8964" width="10.42578125" style="5" bestFit="1" customWidth="1"/>
    <col min="8965" max="8965" width="13.42578125" style="5" customWidth="1"/>
    <col min="8966" max="8966" width="12.42578125" style="5" customWidth="1"/>
    <col min="8967" max="8967" width="12.5703125" style="5" customWidth="1"/>
    <col min="8968" max="8970" width="13" style="5" customWidth="1"/>
    <col min="8971" max="8971" width="14.7109375" style="5" customWidth="1"/>
    <col min="8972" max="8975" width="9.28515625" style="5" hidden="1" customWidth="1"/>
    <col min="8976" max="8979" width="11.28515625" style="5" customWidth="1"/>
    <col min="8980" max="8980" width="19.7109375" style="5" customWidth="1"/>
    <col min="8981" max="9219" width="9.140625" style="5"/>
    <col min="9220" max="9220" width="10.42578125" style="5" bestFit="1" customWidth="1"/>
    <col min="9221" max="9221" width="13.42578125" style="5" customWidth="1"/>
    <col min="9222" max="9222" width="12.42578125" style="5" customWidth="1"/>
    <col min="9223" max="9223" width="12.5703125" style="5" customWidth="1"/>
    <col min="9224" max="9226" width="13" style="5" customWidth="1"/>
    <col min="9227" max="9227" width="14.7109375" style="5" customWidth="1"/>
    <col min="9228" max="9231" width="9.28515625" style="5" hidden="1" customWidth="1"/>
    <col min="9232" max="9235" width="11.28515625" style="5" customWidth="1"/>
    <col min="9236" max="9236" width="19.7109375" style="5" customWidth="1"/>
    <col min="9237" max="9475" width="9.140625" style="5"/>
    <col min="9476" max="9476" width="10.42578125" style="5" bestFit="1" customWidth="1"/>
    <col min="9477" max="9477" width="13.42578125" style="5" customWidth="1"/>
    <col min="9478" max="9478" width="12.42578125" style="5" customWidth="1"/>
    <col min="9479" max="9479" width="12.5703125" style="5" customWidth="1"/>
    <col min="9480" max="9482" width="13" style="5" customWidth="1"/>
    <col min="9483" max="9483" width="14.7109375" style="5" customWidth="1"/>
    <col min="9484" max="9487" width="9.28515625" style="5" hidden="1" customWidth="1"/>
    <col min="9488" max="9491" width="11.28515625" style="5" customWidth="1"/>
    <col min="9492" max="9492" width="19.7109375" style="5" customWidth="1"/>
    <col min="9493" max="9731" width="9.140625" style="5"/>
    <col min="9732" max="9732" width="10.42578125" style="5" bestFit="1" customWidth="1"/>
    <col min="9733" max="9733" width="13.42578125" style="5" customWidth="1"/>
    <col min="9734" max="9734" width="12.42578125" style="5" customWidth="1"/>
    <col min="9735" max="9735" width="12.5703125" style="5" customWidth="1"/>
    <col min="9736" max="9738" width="13" style="5" customWidth="1"/>
    <col min="9739" max="9739" width="14.7109375" style="5" customWidth="1"/>
    <col min="9740" max="9743" width="9.28515625" style="5" hidden="1" customWidth="1"/>
    <col min="9744" max="9747" width="11.28515625" style="5" customWidth="1"/>
    <col min="9748" max="9748" width="19.7109375" style="5" customWidth="1"/>
    <col min="9749" max="9987" width="9.140625" style="5"/>
    <col min="9988" max="9988" width="10.42578125" style="5" bestFit="1" customWidth="1"/>
    <col min="9989" max="9989" width="13.42578125" style="5" customWidth="1"/>
    <col min="9990" max="9990" width="12.42578125" style="5" customWidth="1"/>
    <col min="9991" max="9991" width="12.5703125" style="5" customWidth="1"/>
    <col min="9992" max="9994" width="13" style="5" customWidth="1"/>
    <col min="9995" max="9995" width="14.7109375" style="5" customWidth="1"/>
    <col min="9996" max="9999" width="9.28515625" style="5" hidden="1" customWidth="1"/>
    <col min="10000" max="10003" width="11.28515625" style="5" customWidth="1"/>
    <col min="10004" max="10004" width="19.7109375" style="5" customWidth="1"/>
    <col min="10005" max="10243" width="9.140625" style="5"/>
    <col min="10244" max="10244" width="10.42578125" style="5" bestFit="1" customWidth="1"/>
    <col min="10245" max="10245" width="13.42578125" style="5" customWidth="1"/>
    <col min="10246" max="10246" width="12.42578125" style="5" customWidth="1"/>
    <col min="10247" max="10247" width="12.5703125" style="5" customWidth="1"/>
    <col min="10248" max="10250" width="13" style="5" customWidth="1"/>
    <col min="10251" max="10251" width="14.7109375" style="5" customWidth="1"/>
    <col min="10252" max="10255" width="9.28515625" style="5" hidden="1" customWidth="1"/>
    <col min="10256" max="10259" width="11.28515625" style="5" customWidth="1"/>
    <col min="10260" max="10260" width="19.7109375" style="5" customWidth="1"/>
    <col min="10261" max="10499" width="9.140625" style="5"/>
    <col min="10500" max="10500" width="10.42578125" style="5" bestFit="1" customWidth="1"/>
    <col min="10501" max="10501" width="13.42578125" style="5" customWidth="1"/>
    <col min="10502" max="10502" width="12.42578125" style="5" customWidth="1"/>
    <col min="10503" max="10503" width="12.5703125" style="5" customWidth="1"/>
    <col min="10504" max="10506" width="13" style="5" customWidth="1"/>
    <col min="10507" max="10507" width="14.7109375" style="5" customWidth="1"/>
    <col min="10508" max="10511" width="9.28515625" style="5" hidden="1" customWidth="1"/>
    <col min="10512" max="10515" width="11.28515625" style="5" customWidth="1"/>
    <col min="10516" max="10516" width="19.7109375" style="5" customWidth="1"/>
    <col min="10517" max="10755" width="9.140625" style="5"/>
    <col min="10756" max="10756" width="10.42578125" style="5" bestFit="1" customWidth="1"/>
    <col min="10757" max="10757" width="13.42578125" style="5" customWidth="1"/>
    <col min="10758" max="10758" width="12.42578125" style="5" customWidth="1"/>
    <col min="10759" max="10759" width="12.5703125" style="5" customWidth="1"/>
    <col min="10760" max="10762" width="13" style="5" customWidth="1"/>
    <col min="10763" max="10763" width="14.7109375" style="5" customWidth="1"/>
    <col min="10764" max="10767" width="9.28515625" style="5" hidden="1" customWidth="1"/>
    <col min="10768" max="10771" width="11.28515625" style="5" customWidth="1"/>
    <col min="10772" max="10772" width="19.7109375" style="5" customWidth="1"/>
    <col min="10773" max="11011" width="9.140625" style="5"/>
    <col min="11012" max="11012" width="10.42578125" style="5" bestFit="1" customWidth="1"/>
    <col min="11013" max="11013" width="13.42578125" style="5" customWidth="1"/>
    <col min="11014" max="11014" width="12.42578125" style="5" customWidth="1"/>
    <col min="11015" max="11015" width="12.5703125" style="5" customWidth="1"/>
    <col min="11016" max="11018" width="13" style="5" customWidth="1"/>
    <col min="11019" max="11019" width="14.7109375" style="5" customWidth="1"/>
    <col min="11020" max="11023" width="9.28515625" style="5" hidden="1" customWidth="1"/>
    <col min="11024" max="11027" width="11.28515625" style="5" customWidth="1"/>
    <col min="11028" max="11028" width="19.7109375" style="5" customWidth="1"/>
    <col min="11029" max="11267" width="9.140625" style="5"/>
    <col min="11268" max="11268" width="10.42578125" style="5" bestFit="1" customWidth="1"/>
    <col min="11269" max="11269" width="13.42578125" style="5" customWidth="1"/>
    <col min="11270" max="11270" width="12.42578125" style="5" customWidth="1"/>
    <col min="11271" max="11271" width="12.5703125" style="5" customWidth="1"/>
    <col min="11272" max="11274" width="13" style="5" customWidth="1"/>
    <col min="11275" max="11275" width="14.7109375" style="5" customWidth="1"/>
    <col min="11276" max="11279" width="9.28515625" style="5" hidden="1" customWidth="1"/>
    <col min="11280" max="11283" width="11.28515625" style="5" customWidth="1"/>
    <col min="11284" max="11284" width="19.7109375" style="5" customWidth="1"/>
    <col min="11285" max="11523" width="9.140625" style="5"/>
    <col min="11524" max="11524" width="10.42578125" style="5" bestFit="1" customWidth="1"/>
    <col min="11525" max="11525" width="13.42578125" style="5" customWidth="1"/>
    <col min="11526" max="11526" width="12.42578125" style="5" customWidth="1"/>
    <col min="11527" max="11527" width="12.5703125" style="5" customWidth="1"/>
    <col min="11528" max="11530" width="13" style="5" customWidth="1"/>
    <col min="11531" max="11531" width="14.7109375" style="5" customWidth="1"/>
    <col min="11532" max="11535" width="9.28515625" style="5" hidden="1" customWidth="1"/>
    <col min="11536" max="11539" width="11.28515625" style="5" customWidth="1"/>
    <col min="11540" max="11540" width="19.7109375" style="5" customWidth="1"/>
    <col min="11541" max="11779" width="9.140625" style="5"/>
    <col min="11780" max="11780" width="10.42578125" style="5" bestFit="1" customWidth="1"/>
    <col min="11781" max="11781" width="13.42578125" style="5" customWidth="1"/>
    <col min="11782" max="11782" width="12.42578125" style="5" customWidth="1"/>
    <col min="11783" max="11783" width="12.5703125" style="5" customWidth="1"/>
    <col min="11784" max="11786" width="13" style="5" customWidth="1"/>
    <col min="11787" max="11787" width="14.7109375" style="5" customWidth="1"/>
    <col min="11788" max="11791" width="9.28515625" style="5" hidden="1" customWidth="1"/>
    <col min="11792" max="11795" width="11.28515625" style="5" customWidth="1"/>
    <col min="11796" max="11796" width="19.7109375" style="5" customWidth="1"/>
    <col min="11797" max="12035" width="9.140625" style="5"/>
    <col min="12036" max="12036" width="10.42578125" style="5" bestFit="1" customWidth="1"/>
    <col min="12037" max="12037" width="13.42578125" style="5" customWidth="1"/>
    <col min="12038" max="12038" width="12.42578125" style="5" customWidth="1"/>
    <col min="12039" max="12039" width="12.5703125" style="5" customWidth="1"/>
    <col min="12040" max="12042" width="13" style="5" customWidth="1"/>
    <col min="12043" max="12043" width="14.7109375" style="5" customWidth="1"/>
    <col min="12044" max="12047" width="9.28515625" style="5" hidden="1" customWidth="1"/>
    <col min="12048" max="12051" width="11.28515625" style="5" customWidth="1"/>
    <col min="12052" max="12052" width="19.7109375" style="5" customWidth="1"/>
    <col min="12053" max="12291" width="9.140625" style="5"/>
    <col min="12292" max="12292" width="10.42578125" style="5" bestFit="1" customWidth="1"/>
    <col min="12293" max="12293" width="13.42578125" style="5" customWidth="1"/>
    <col min="12294" max="12294" width="12.42578125" style="5" customWidth="1"/>
    <col min="12295" max="12295" width="12.5703125" style="5" customWidth="1"/>
    <col min="12296" max="12298" width="13" style="5" customWidth="1"/>
    <col min="12299" max="12299" width="14.7109375" style="5" customWidth="1"/>
    <col min="12300" max="12303" width="9.28515625" style="5" hidden="1" customWidth="1"/>
    <col min="12304" max="12307" width="11.28515625" style="5" customWidth="1"/>
    <col min="12308" max="12308" width="19.7109375" style="5" customWidth="1"/>
    <col min="12309" max="12547" width="9.140625" style="5"/>
    <col min="12548" max="12548" width="10.42578125" style="5" bestFit="1" customWidth="1"/>
    <col min="12549" max="12549" width="13.42578125" style="5" customWidth="1"/>
    <col min="12550" max="12550" width="12.42578125" style="5" customWidth="1"/>
    <col min="12551" max="12551" width="12.5703125" style="5" customWidth="1"/>
    <col min="12552" max="12554" width="13" style="5" customWidth="1"/>
    <col min="12555" max="12555" width="14.7109375" style="5" customWidth="1"/>
    <col min="12556" max="12559" width="9.28515625" style="5" hidden="1" customWidth="1"/>
    <col min="12560" max="12563" width="11.28515625" style="5" customWidth="1"/>
    <col min="12564" max="12564" width="19.7109375" style="5" customWidth="1"/>
    <col min="12565" max="12803" width="9.140625" style="5"/>
    <col min="12804" max="12804" width="10.42578125" style="5" bestFit="1" customWidth="1"/>
    <col min="12805" max="12805" width="13.42578125" style="5" customWidth="1"/>
    <col min="12806" max="12806" width="12.42578125" style="5" customWidth="1"/>
    <col min="12807" max="12807" width="12.5703125" style="5" customWidth="1"/>
    <col min="12808" max="12810" width="13" style="5" customWidth="1"/>
    <col min="12811" max="12811" width="14.7109375" style="5" customWidth="1"/>
    <col min="12812" max="12815" width="9.28515625" style="5" hidden="1" customWidth="1"/>
    <col min="12816" max="12819" width="11.28515625" style="5" customWidth="1"/>
    <col min="12820" max="12820" width="19.7109375" style="5" customWidth="1"/>
    <col min="12821" max="13059" width="9.140625" style="5"/>
    <col min="13060" max="13060" width="10.42578125" style="5" bestFit="1" customWidth="1"/>
    <col min="13061" max="13061" width="13.42578125" style="5" customWidth="1"/>
    <col min="13062" max="13062" width="12.42578125" style="5" customWidth="1"/>
    <col min="13063" max="13063" width="12.5703125" style="5" customWidth="1"/>
    <col min="13064" max="13066" width="13" style="5" customWidth="1"/>
    <col min="13067" max="13067" width="14.7109375" style="5" customWidth="1"/>
    <col min="13068" max="13071" width="9.28515625" style="5" hidden="1" customWidth="1"/>
    <col min="13072" max="13075" width="11.28515625" style="5" customWidth="1"/>
    <col min="13076" max="13076" width="19.7109375" style="5" customWidth="1"/>
    <col min="13077" max="13315" width="9.140625" style="5"/>
    <col min="13316" max="13316" width="10.42578125" style="5" bestFit="1" customWidth="1"/>
    <col min="13317" max="13317" width="13.42578125" style="5" customWidth="1"/>
    <col min="13318" max="13318" width="12.42578125" style="5" customWidth="1"/>
    <col min="13319" max="13319" width="12.5703125" style="5" customWidth="1"/>
    <col min="13320" max="13322" width="13" style="5" customWidth="1"/>
    <col min="13323" max="13323" width="14.7109375" style="5" customWidth="1"/>
    <col min="13324" max="13327" width="9.28515625" style="5" hidden="1" customWidth="1"/>
    <col min="13328" max="13331" width="11.28515625" style="5" customWidth="1"/>
    <col min="13332" max="13332" width="19.7109375" style="5" customWidth="1"/>
    <col min="13333" max="13571" width="9.140625" style="5"/>
    <col min="13572" max="13572" width="10.42578125" style="5" bestFit="1" customWidth="1"/>
    <col min="13573" max="13573" width="13.42578125" style="5" customWidth="1"/>
    <col min="13574" max="13574" width="12.42578125" style="5" customWidth="1"/>
    <col min="13575" max="13575" width="12.5703125" style="5" customWidth="1"/>
    <col min="13576" max="13578" width="13" style="5" customWidth="1"/>
    <col min="13579" max="13579" width="14.7109375" style="5" customWidth="1"/>
    <col min="13580" max="13583" width="9.28515625" style="5" hidden="1" customWidth="1"/>
    <col min="13584" max="13587" width="11.28515625" style="5" customWidth="1"/>
    <col min="13588" max="13588" width="19.7109375" style="5" customWidth="1"/>
    <col min="13589" max="13827" width="9.140625" style="5"/>
    <col min="13828" max="13828" width="10.42578125" style="5" bestFit="1" customWidth="1"/>
    <col min="13829" max="13829" width="13.42578125" style="5" customWidth="1"/>
    <col min="13830" max="13830" width="12.42578125" style="5" customWidth="1"/>
    <col min="13831" max="13831" width="12.5703125" style="5" customWidth="1"/>
    <col min="13832" max="13834" width="13" style="5" customWidth="1"/>
    <col min="13835" max="13835" width="14.7109375" style="5" customWidth="1"/>
    <col min="13836" max="13839" width="9.28515625" style="5" hidden="1" customWidth="1"/>
    <col min="13840" max="13843" width="11.28515625" style="5" customWidth="1"/>
    <col min="13844" max="13844" width="19.7109375" style="5" customWidth="1"/>
    <col min="13845" max="14083" width="9.140625" style="5"/>
    <col min="14084" max="14084" width="10.42578125" style="5" bestFit="1" customWidth="1"/>
    <col min="14085" max="14085" width="13.42578125" style="5" customWidth="1"/>
    <col min="14086" max="14086" width="12.42578125" style="5" customWidth="1"/>
    <col min="14087" max="14087" width="12.5703125" style="5" customWidth="1"/>
    <col min="14088" max="14090" width="13" style="5" customWidth="1"/>
    <col min="14091" max="14091" width="14.7109375" style="5" customWidth="1"/>
    <col min="14092" max="14095" width="9.28515625" style="5" hidden="1" customWidth="1"/>
    <col min="14096" max="14099" width="11.28515625" style="5" customWidth="1"/>
    <col min="14100" max="14100" width="19.7109375" style="5" customWidth="1"/>
    <col min="14101" max="14339" width="9.140625" style="5"/>
    <col min="14340" max="14340" width="10.42578125" style="5" bestFit="1" customWidth="1"/>
    <col min="14341" max="14341" width="13.42578125" style="5" customWidth="1"/>
    <col min="14342" max="14342" width="12.42578125" style="5" customWidth="1"/>
    <col min="14343" max="14343" width="12.5703125" style="5" customWidth="1"/>
    <col min="14344" max="14346" width="13" style="5" customWidth="1"/>
    <col min="14347" max="14347" width="14.7109375" style="5" customWidth="1"/>
    <col min="14348" max="14351" width="9.28515625" style="5" hidden="1" customWidth="1"/>
    <col min="14352" max="14355" width="11.28515625" style="5" customWidth="1"/>
    <col min="14356" max="14356" width="19.7109375" style="5" customWidth="1"/>
    <col min="14357" max="14595" width="9.140625" style="5"/>
    <col min="14596" max="14596" width="10.42578125" style="5" bestFit="1" customWidth="1"/>
    <col min="14597" max="14597" width="13.42578125" style="5" customWidth="1"/>
    <col min="14598" max="14598" width="12.42578125" style="5" customWidth="1"/>
    <col min="14599" max="14599" width="12.5703125" style="5" customWidth="1"/>
    <col min="14600" max="14602" width="13" style="5" customWidth="1"/>
    <col min="14603" max="14603" width="14.7109375" style="5" customWidth="1"/>
    <col min="14604" max="14607" width="9.28515625" style="5" hidden="1" customWidth="1"/>
    <col min="14608" max="14611" width="11.28515625" style="5" customWidth="1"/>
    <col min="14612" max="14612" width="19.7109375" style="5" customWidth="1"/>
    <col min="14613" max="14851" width="9.140625" style="5"/>
    <col min="14852" max="14852" width="10.42578125" style="5" bestFit="1" customWidth="1"/>
    <col min="14853" max="14853" width="13.42578125" style="5" customWidth="1"/>
    <col min="14854" max="14854" width="12.42578125" style="5" customWidth="1"/>
    <col min="14855" max="14855" width="12.5703125" style="5" customWidth="1"/>
    <col min="14856" max="14858" width="13" style="5" customWidth="1"/>
    <col min="14859" max="14859" width="14.7109375" style="5" customWidth="1"/>
    <col min="14860" max="14863" width="9.28515625" style="5" hidden="1" customWidth="1"/>
    <col min="14864" max="14867" width="11.28515625" style="5" customWidth="1"/>
    <col min="14868" max="14868" width="19.7109375" style="5" customWidth="1"/>
    <col min="14869" max="15107" width="9.140625" style="5"/>
    <col min="15108" max="15108" width="10.42578125" style="5" bestFit="1" customWidth="1"/>
    <col min="15109" max="15109" width="13.42578125" style="5" customWidth="1"/>
    <col min="15110" max="15110" width="12.42578125" style="5" customWidth="1"/>
    <col min="15111" max="15111" width="12.5703125" style="5" customWidth="1"/>
    <col min="15112" max="15114" width="13" style="5" customWidth="1"/>
    <col min="15115" max="15115" width="14.7109375" style="5" customWidth="1"/>
    <col min="15116" max="15119" width="9.28515625" style="5" hidden="1" customWidth="1"/>
    <col min="15120" max="15123" width="11.28515625" style="5" customWidth="1"/>
    <col min="15124" max="15124" width="19.7109375" style="5" customWidth="1"/>
    <col min="15125" max="15363" width="9.140625" style="5"/>
    <col min="15364" max="15364" width="10.42578125" style="5" bestFit="1" customWidth="1"/>
    <col min="15365" max="15365" width="13.42578125" style="5" customWidth="1"/>
    <col min="15366" max="15366" width="12.42578125" style="5" customWidth="1"/>
    <col min="15367" max="15367" width="12.5703125" style="5" customWidth="1"/>
    <col min="15368" max="15370" width="13" style="5" customWidth="1"/>
    <col min="15371" max="15371" width="14.7109375" style="5" customWidth="1"/>
    <col min="15372" max="15375" width="9.28515625" style="5" hidden="1" customWidth="1"/>
    <col min="15376" max="15379" width="11.28515625" style="5" customWidth="1"/>
    <col min="15380" max="15380" width="19.7109375" style="5" customWidth="1"/>
    <col min="15381" max="15619" width="9.140625" style="5"/>
    <col min="15620" max="15620" width="10.42578125" style="5" bestFit="1" customWidth="1"/>
    <col min="15621" max="15621" width="13.42578125" style="5" customWidth="1"/>
    <col min="15622" max="15622" width="12.42578125" style="5" customWidth="1"/>
    <col min="15623" max="15623" width="12.5703125" style="5" customWidth="1"/>
    <col min="15624" max="15626" width="13" style="5" customWidth="1"/>
    <col min="15627" max="15627" width="14.7109375" style="5" customWidth="1"/>
    <col min="15628" max="15631" width="9.28515625" style="5" hidden="1" customWidth="1"/>
    <col min="15632" max="15635" width="11.28515625" style="5" customWidth="1"/>
    <col min="15636" max="15636" width="19.7109375" style="5" customWidth="1"/>
    <col min="15637" max="15875" width="9.140625" style="5"/>
    <col min="15876" max="15876" width="10.42578125" style="5" bestFit="1" customWidth="1"/>
    <col min="15877" max="15877" width="13.42578125" style="5" customWidth="1"/>
    <col min="15878" max="15878" width="12.42578125" style="5" customWidth="1"/>
    <col min="15879" max="15879" width="12.5703125" style="5" customWidth="1"/>
    <col min="15880" max="15882" width="13" style="5" customWidth="1"/>
    <col min="15883" max="15883" width="14.7109375" style="5" customWidth="1"/>
    <col min="15884" max="15887" width="9.28515625" style="5" hidden="1" customWidth="1"/>
    <col min="15888" max="15891" width="11.28515625" style="5" customWidth="1"/>
    <col min="15892" max="15892" width="19.7109375" style="5" customWidth="1"/>
    <col min="15893" max="16131" width="9.140625" style="5"/>
    <col min="16132" max="16132" width="10.42578125" style="5" bestFit="1" customWidth="1"/>
    <col min="16133" max="16133" width="13.42578125" style="5" customWidth="1"/>
    <col min="16134" max="16134" width="12.42578125" style="5" customWidth="1"/>
    <col min="16135" max="16135" width="12.5703125" style="5" customWidth="1"/>
    <col min="16136" max="16138" width="13" style="5" customWidth="1"/>
    <col min="16139" max="16139" width="14.7109375" style="5" customWidth="1"/>
    <col min="16140" max="16143" width="9.28515625" style="5" hidden="1" customWidth="1"/>
    <col min="16144" max="16147" width="11.28515625" style="5" customWidth="1"/>
    <col min="16148" max="16148" width="19.7109375" style="5" customWidth="1"/>
    <col min="16149" max="16384" width="9.140625" style="5"/>
  </cols>
  <sheetData>
    <row r="1" spans="1:24" ht="13.5" thickBot="1">
      <c r="A1" s="1" t="s">
        <v>0</v>
      </c>
      <c r="B1" s="205" t="s">
        <v>129</v>
      </c>
      <c r="C1" s="205"/>
      <c r="D1" s="127"/>
      <c r="E1" s="1" t="s">
        <v>1</v>
      </c>
      <c r="F1" s="1"/>
      <c r="G1" s="2">
        <v>9</v>
      </c>
      <c r="H1" s="2"/>
      <c r="I1" s="3" t="s">
        <v>2</v>
      </c>
      <c r="J1" s="4">
        <v>44424</v>
      </c>
      <c r="M1" s="208" t="s">
        <v>3</v>
      </c>
      <c r="N1" s="208"/>
    </row>
    <row r="2" spans="1:24">
      <c r="A2" s="1" t="s">
        <v>4</v>
      </c>
      <c r="B2" s="206">
        <v>259732975</v>
      </c>
      <c r="C2" s="206"/>
      <c r="D2" s="128"/>
      <c r="G2" s="6"/>
      <c r="H2" s="6"/>
      <c r="I2" s="3" t="s">
        <v>5</v>
      </c>
      <c r="J2" s="4">
        <v>25200</v>
      </c>
      <c r="L2" s="7">
        <v>2007</v>
      </c>
      <c r="M2" s="11">
        <v>2007</v>
      </c>
      <c r="N2" s="11">
        <v>2007</v>
      </c>
      <c r="P2" s="8">
        <v>58000</v>
      </c>
      <c r="Q2" s="9"/>
      <c r="R2" s="9"/>
      <c r="S2" s="8">
        <v>19500</v>
      </c>
      <c r="T2" s="10"/>
    </row>
    <row r="3" spans="1:24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">
        <v>131250</v>
      </c>
      <c r="K3" s="49"/>
      <c r="L3" s="12" t="s">
        <v>12</v>
      </c>
      <c r="M3" s="13" t="s">
        <v>13</v>
      </c>
      <c r="N3" s="13" t="s">
        <v>13</v>
      </c>
      <c r="P3" s="14">
        <f>-SUM(C30+D30+E30)</f>
        <v>-28503.058333333334</v>
      </c>
      <c r="S3" s="14">
        <v>0</v>
      </c>
      <c r="T3" s="15" t="s">
        <v>14</v>
      </c>
      <c r="V3" s="16"/>
    </row>
    <row r="4" spans="1:24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J3/G1</f>
        <v>14583.333333333334</v>
      </c>
      <c r="K4" s="49"/>
      <c r="L4" s="12" t="s">
        <v>16</v>
      </c>
      <c r="M4" s="13" t="s">
        <v>18</v>
      </c>
      <c r="N4" s="13" t="s">
        <v>19</v>
      </c>
      <c r="P4" s="19">
        <f>SUM(P2:P3)</f>
        <v>29496.941666666666</v>
      </c>
      <c r="Q4" s="20" t="s">
        <v>44</v>
      </c>
      <c r="R4" s="20"/>
      <c r="S4" s="14">
        <v>6500</v>
      </c>
      <c r="T4" s="15" t="s">
        <v>20</v>
      </c>
      <c r="V4" s="16"/>
    </row>
    <row r="5" spans="1:24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5">
        <f>J4/2</f>
        <v>7291.666666666667</v>
      </c>
      <c r="K5" s="49"/>
      <c r="L5" s="22" t="s">
        <v>27</v>
      </c>
      <c r="M5" s="21" t="s">
        <v>28</v>
      </c>
      <c r="N5" s="21" t="s">
        <v>28</v>
      </c>
      <c r="S5" s="14">
        <f>-D30</f>
        <v>-4071.8683333333329</v>
      </c>
      <c r="T5" s="15" t="s">
        <v>29</v>
      </c>
      <c r="V5" s="16"/>
    </row>
    <row r="6" spans="1:24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29" t="e">
        <f>IF(#REF!/5&gt;$G$6,G6,(#REF!/5))</f>
        <v>#REF!</v>
      </c>
      <c r="M6" s="30" t="e">
        <f>#REF!/5</f>
        <v>#REF!</v>
      </c>
      <c r="N6" s="30" t="e">
        <f>#REF!/5 +G6</f>
        <v>#REF!</v>
      </c>
      <c r="P6" s="76" t="s">
        <v>116</v>
      </c>
      <c r="Q6" s="77"/>
      <c r="R6" s="77"/>
      <c r="S6" s="19">
        <f>SUM(S2:S5)</f>
        <v>21928.131666666668</v>
      </c>
      <c r="T6" s="32" t="s">
        <v>93</v>
      </c>
      <c r="V6" s="16"/>
    </row>
    <row r="7" spans="1:24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9" si="2">B7*0.075</f>
        <v>0</v>
      </c>
      <c r="F7" s="25">
        <f t="shared" ref="F7:F29" si="3">B7*0.025</f>
        <v>0</v>
      </c>
      <c r="G7" s="27">
        <v>0</v>
      </c>
      <c r="H7" s="27">
        <v>0</v>
      </c>
      <c r="J7" s="16"/>
      <c r="K7" s="28"/>
      <c r="L7" s="29" t="e">
        <f>IF(#REF!/5&gt;$G$6,#REF!,(#REF!/5))</f>
        <v>#REF!</v>
      </c>
      <c r="M7" s="30" t="e">
        <f>#REF!/5</f>
        <v>#REF!</v>
      </c>
      <c r="N7" s="30" t="e">
        <f>#REF!/5 +#REF!</f>
        <v>#REF!</v>
      </c>
      <c r="P7" s="76" t="s">
        <v>107</v>
      </c>
      <c r="Q7" s="77"/>
      <c r="R7" s="77"/>
      <c r="S7" s="78" t="s">
        <v>45</v>
      </c>
      <c r="T7" s="79"/>
      <c r="V7" s="16"/>
    </row>
    <row r="8" spans="1:24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29" t="e">
        <f>IF(#REF!/5&gt;$G$6,G10,(#REF!/5))</f>
        <v>#REF!</v>
      </c>
      <c r="M8" s="30" t="e">
        <f>#REF!/5</f>
        <v>#REF!</v>
      </c>
      <c r="N8" s="30" t="e">
        <f>#REF!/5+G10</f>
        <v>#REF!</v>
      </c>
      <c r="P8" s="31"/>
      <c r="S8" s="33">
        <f>P4</f>
        <v>29496.941666666666</v>
      </c>
      <c r="T8" s="34" t="s">
        <v>101</v>
      </c>
      <c r="V8" s="16"/>
    </row>
    <row r="9" spans="1:24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29" t="e">
        <f>IF(#REF!/5&gt;$G$6,G11,(#REF!/5))</f>
        <v>#REF!</v>
      </c>
      <c r="M9" s="30" t="e">
        <f>#REF!/5</f>
        <v>#REF!</v>
      </c>
      <c r="N9" s="30" t="e">
        <f>#REF!/5+G10</f>
        <v>#REF!</v>
      </c>
      <c r="P9" s="35"/>
      <c r="Q9" s="36"/>
      <c r="R9" s="36"/>
      <c r="S9" s="14">
        <v>0</v>
      </c>
      <c r="T9" s="15" t="s">
        <v>14</v>
      </c>
      <c r="V9" s="16"/>
    </row>
    <row r="10" spans="1:24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2"/>
      <c r="M10" s="83"/>
      <c r="N10" s="83"/>
      <c r="O10" s="84"/>
      <c r="P10" s="85"/>
      <c r="Q10" s="86"/>
      <c r="R10" s="84"/>
      <c r="S10" s="14">
        <v>6500</v>
      </c>
      <c r="T10" s="15" t="s">
        <v>20</v>
      </c>
      <c r="V10" s="16"/>
    </row>
    <row r="11" spans="1:24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7"/>
      <c r="M11" s="88"/>
      <c r="N11" s="88"/>
      <c r="O11" s="84"/>
      <c r="P11" s="85"/>
      <c r="Q11" s="86"/>
      <c r="R11" s="84"/>
      <c r="S11" s="19">
        <f>SUM(S8:S10)</f>
        <v>35996.941666666666</v>
      </c>
      <c r="T11" s="37"/>
      <c r="V11" s="41"/>
    </row>
    <row r="12" spans="1:24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7"/>
      <c r="M12" s="88"/>
      <c r="N12" s="90"/>
      <c r="O12" s="84"/>
      <c r="P12" s="85"/>
      <c r="Q12" s="86"/>
      <c r="R12" s="84"/>
      <c r="S12" s="38"/>
      <c r="T12" s="39"/>
      <c r="V12" s="31"/>
      <c r="W12" s="31"/>
      <c r="X12" s="89"/>
    </row>
    <row r="13" spans="1:24" ht="13.5" thickBot="1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91" t="e">
        <v>#REF!</v>
      </c>
      <c r="M13" s="92" t="e">
        <v>#REF!</v>
      </c>
      <c r="N13" s="92" t="e">
        <v>#REF!</v>
      </c>
      <c r="O13" s="84"/>
      <c r="P13" s="85"/>
      <c r="Q13" s="86"/>
      <c r="R13" s="84"/>
      <c r="S13" s="40" t="s">
        <v>30</v>
      </c>
      <c r="T13" s="10"/>
      <c r="V13" s="89"/>
      <c r="W13" s="89"/>
    </row>
    <row r="14" spans="1:24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209" t="e">
        <f>IF(#REF!&gt;=0,"Total&lt;45K eligible for SRA","&gt;45K Not eligible for SRA")</f>
        <v>#REF!</v>
      </c>
      <c r="M14" s="210"/>
      <c r="N14" s="211"/>
      <c r="P14" s="31"/>
      <c r="Q14" s="41"/>
      <c r="S14" s="14">
        <f>IF(S11&lt;S6,S11,S6)</f>
        <v>21928.131666666668</v>
      </c>
      <c r="T14" s="42" t="s">
        <v>31</v>
      </c>
      <c r="V14" s="31"/>
      <c r="W14" s="31"/>
    </row>
    <row r="15" spans="1:24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212" t="e">
        <f>IF(#REF!&gt;=0,IF(#REF!&gt;=0,"SRA OK","SRA need to be adjusted"), "&gt;45K Not eligible for SRA")</f>
        <v>#REF!</v>
      </c>
      <c r="M15" s="213"/>
      <c r="N15" s="214"/>
      <c r="P15" s="44"/>
      <c r="Q15" s="41"/>
      <c r="S15" s="14">
        <f t="shared" ref="S15:S38" si="4">S14-G6</f>
        <v>21928.131666666668</v>
      </c>
      <c r="T15" s="23">
        <v>40553</v>
      </c>
      <c r="V15" s="31"/>
    </row>
    <row r="16" spans="1:24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5"/>
      <c r="N16" s="45"/>
      <c r="O16" s="45"/>
      <c r="P16" s="45"/>
      <c r="Q16" s="46"/>
      <c r="R16" s="46"/>
      <c r="S16" s="14">
        <f t="shared" si="4"/>
        <v>21928.131666666668</v>
      </c>
      <c r="T16" s="23">
        <v>40568</v>
      </c>
      <c r="V16" s="31"/>
    </row>
    <row r="17" spans="1:26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7"/>
      <c r="M17" s="45"/>
      <c r="N17" s="45"/>
      <c r="O17" s="45"/>
      <c r="P17" s="48"/>
      <c r="Q17" s="45"/>
      <c r="R17" s="46"/>
      <c r="S17" s="14">
        <f t="shared" si="4"/>
        <v>21928.131666666668</v>
      </c>
      <c r="T17" s="23">
        <v>40584</v>
      </c>
      <c r="V17" s="31"/>
    </row>
    <row r="18" spans="1:26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L18" s="45"/>
      <c r="M18" s="45"/>
      <c r="N18" s="45"/>
      <c r="O18" s="45"/>
      <c r="S18" s="14">
        <f t="shared" si="4"/>
        <v>21928.131666666668</v>
      </c>
      <c r="T18" s="23">
        <v>40599</v>
      </c>
      <c r="V18" s="31"/>
      <c r="Y18" s="31"/>
      <c r="Z18" s="31"/>
    </row>
    <row r="19" spans="1:26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L19" s="49"/>
      <c r="S19" s="14">
        <f t="shared" si="4"/>
        <v>21928.131666666668</v>
      </c>
      <c r="T19" s="23">
        <v>40612</v>
      </c>
    </row>
    <row r="20" spans="1:26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S20" s="14">
        <f t="shared" si="4"/>
        <v>21928.131666666668</v>
      </c>
      <c r="T20" s="23">
        <v>40627</v>
      </c>
    </row>
    <row r="21" spans="1:26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L21" s="52"/>
      <c r="S21" s="14">
        <f t="shared" si="4"/>
        <v>21928.131666666668</v>
      </c>
      <c r="T21" s="23">
        <v>40643</v>
      </c>
      <c r="Y21" s="31"/>
    </row>
    <row r="22" spans="1:26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L22" s="52"/>
      <c r="S22" s="14">
        <f t="shared" si="4"/>
        <v>21928.131666666668</v>
      </c>
      <c r="T22" s="23">
        <v>40658</v>
      </c>
      <c r="Y22" s="31"/>
    </row>
    <row r="23" spans="1:26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S23" s="14">
        <f t="shared" si="4"/>
        <v>21928.131666666668</v>
      </c>
      <c r="T23" s="23">
        <v>40673</v>
      </c>
      <c r="V23" s="31"/>
      <c r="Y23" s="31"/>
    </row>
    <row r="24" spans="1:26">
      <c r="A24" s="23">
        <v>40096</v>
      </c>
      <c r="B24" s="98">
        <f>144985.13-18568.86</f>
        <v>126416.27</v>
      </c>
      <c r="C24" s="25">
        <v>8989.07</v>
      </c>
      <c r="D24" s="25">
        <v>2996.32</v>
      </c>
      <c r="E24" s="26">
        <v>8989.07</v>
      </c>
      <c r="F24" s="25">
        <v>2996.32</v>
      </c>
      <c r="G24" s="27">
        <v>0</v>
      </c>
      <c r="H24" s="27">
        <v>0</v>
      </c>
      <c r="I24" s="53"/>
      <c r="J24" s="53"/>
      <c r="K24" s="53"/>
      <c r="L24" s="207"/>
      <c r="M24" s="207"/>
      <c r="N24" s="207"/>
      <c r="S24" s="14">
        <f t="shared" si="4"/>
        <v>21928.131666666668</v>
      </c>
      <c r="T24" s="23">
        <v>40688</v>
      </c>
      <c r="V24" s="31"/>
      <c r="Y24" s="31"/>
    </row>
    <row r="25" spans="1:26">
      <c r="A25" s="23">
        <v>40111</v>
      </c>
      <c r="B25" s="98">
        <f>J5</f>
        <v>7291.666666666667</v>
      </c>
      <c r="C25" s="25">
        <f t="shared" si="0"/>
        <v>546.875</v>
      </c>
      <c r="D25" s="25">
        <f t="shared" si="1"/>
        <v>182.29166666666669</v>
      </c>
      <c r="E25" s="26">
        <f t="shared" si="2"/>
        <v>546.875</v>
      </c>
      <c r="F25" s="25">
        <f t="shared" si="3"/>
        <v>182.29166666666669</v>
      </c>
      <c r="G25" s="27">
        <v>0</v>
      </c>
      <c r="H25" s="27">
        <v>0</v>
      </c>
      <c r="I25" s="54"/>
      <c r="J25" s="55"/>
      <c r="K25" s="54"/>
      <c r="L25" s="207"/>
      <c r="M25" s="207"/>
      <c r="N25" s="207"/>
      <c r="S25" s="14">
        <f t="shared" si="4"/>
        <v>21928.131666666668</v>
      </c>
      <c r="T25" s="23">
        <v>40704</v>
      </c>
      <c r="V25" s="31"/>
    </row>
    <row r="26" spans="1:26">
      <c r="A26" s="23">
        <v>40127</v>
      </c>
      <c r="B26" s="98">
        <f>J5</f>
        <v>7291.666666666667</v>
      </c>
      <c r="C26" s="135">
        <f>(B26*0.075)+492.15</f>
        <v>1039.0250000000001</v>
      </c>
      <c r="D26" s="135">
        <f>(B26*0.025)+164.09</f>
        <v>346.38166666666666</v>
      </c>
      <c r="E26" s="139">
        <f>(B26*0.075)+492.15</f>
        <v>1039.0250000000001</v>
      </c>
      <c r="F26" s="135">
        <f>(B26*0.025)+164.09</f>
        <v>346.38166666666666</v>
      </c>
      <c r="G26" s="27">
        <v>0</v>
      </c>
      <c r="H26" s="27">
        <v>0</v>
      </c>
      <c r="I26" s="50"/>
      <c r="J26" s="45"/>
      <c r="K26" s="45"/>
      <c r="S26" s="14">
        <f t="shared" si="4"/>
        <v>21928.131666666668</v>
      </c>
      <c r="T26" s="23">
        <v>40719</v>
      </c>
      <c r="V26" s="31"/>
    </row>
    <row r="27" spans="1:26" ht="15" customHeight="1">
      <c r="A27" s="23">
        <v>40142</v>
      </c>
      <c r="B27" s="98">
        <f>J5</f>
        <v>7291.666666666667</v>
      </c>
      <c r="C27" s="25">
        <f t="shared" si="0"/>
        <v>546.875</v>
      </c>
      <c r="D27" s="25">
        <f t="shared" si="1"/>
        <v>182.29166666666669</v>
      </c>
      <c r="E27" s="26">
        <f t="shared" si="2"/>
        <v>546.875</v>
      </c>
      <c r="F27" s="25">
        <f t="shared" si="3"/>
        <v>182.29166666666669</v>
      </c>
      <c r="G27" s="27">
        <v>0</v>
      </c>
      <c r="H27" s="27">
        <v>0</v>
      </c>
      <c r="I27" s="56"/>
      <c r="J27" s="56"/>
      <c r="K27" s="56"/>
      <c r="S27" s="14">
        <f t="shared" si="4"/>
        <v>21928.131666666668</v>
      </c>
      <c r="T27" s="23">
        <v>40369</v>
      </c>
      <c r="V27" s="31"/>
    </row>
    <row r="28" spans="1:26">
      <c r="A28" s="23">
        <v>40157</v>
      </c>
      <c r="B28" s="98">
        <f>J5</f>
        <v>7291.666666666667</v>
      </c>
      <c r="C28" s="25">
        <f t="shared" si="0"/>
        <v>546.875</v>
      </c>
      <c r="D28" s="25">
        <f t="shared" si="1"/>
        <v>182.29166666666669</v>
      </c>
      <c r="E28" s="26">
        <f t="shared" si="2"/>
        <v>546.875</v>
      </c>
      <c r="F28" s="26">
        <f t="shared" si="3"/>
        <v>182.29166666666669</v>
      </c>
      <c r="G28" s="27">
        <v>0</v>
      </c>
      <c r="H28" s="27">
        <v>0</v>
      </c>
      <c r="I28" s="56"/>
      <c r="J28" s="56"/>
      <c r="K28" s="56"/>
      <c r="L28" s="45"/>
      <c r="M28" s="45"/>
      <c r="N28" s="45"/>
      <c r="O28" s="45"/>
      <c r="P28" s="48"/>
      <c r="Q28" s="45"/>
      <c r="R28" s="46"/>
      <c r="S28" s="14">
        <f t="shared" si="4"/>
        <v>21928.131666666668</v>
      </c>
      <c r="T28" s="23">
        <v>40384</v>
      </c>
      <c r="V28" s="89"/>
    </row>
    <row r="29" spans="1:26" ht="13.5" thickBot="1">
      <c r="A29" s="23">
        <v>39441</v>
      </c>
      <c r="B29" s="98">
        <f>J5</f>
        <v>7291.666666666667</v>
      </c>
      <c r="C29" s="25">
        <f t="shared" si="0"/>
        <v>546.875</v>
      </c>
      <c r="D29" s="126">
        <f t="shared" si="1"/>
        <v>182.29166666666669</v>
      </c>
      <c r="E29" s="97">
        <f t="shared" si="2"/>
        <v>546.875</v>
      </c>
      <c r="F29" s="97">
        <f t="shared" si="3"/>
        <v>182.29166666666669</v>
      </c>
      <c r="G29" s="27">
        <v>0</v>
      </c>
      <c r="H29" s="27">
        <v>0</v>
      </c>
      <c r="I29" s="56"/>
      <c r="J29" s="56"/>
      <c r="K29" s="56"/>
      <c r="L29" s="57"/>
      <c r="M29" s="57"/>
      <c r="N29" s="57"/>
      <c r="O29" s="57"/>
      <c r="S29" s="14">
        <f t="shared" si="4"/>
        <v>21928.131666666668</v>
      </c>
      <c r="T29" s="23">
        <v>40400</v>
      </c>
      <c r="V29" s="89" t="s">
        <v>32</v>
      </c>
    </row>
    <row r="30" spans="1:26">
      <c r="A30" s="58" t="s">
        <v>33</v>
      </c>
      <c r="B30" s="59">
        <f t="shared" ref="B30:H30" si="5">SUM(B6:B29)</f>
        <v>162874.6033333333</v>
      </c>
      <c r="C30" s="59">
        <f t="shared" si="5"/>
        <v>12215.594999999999</v>
      </c>
      <c r="D30" s="94">
        <f t="shared" si="5"/>
        <v>4071.8683333333329</v>
      </c>
      <c r="E30" s="94">
        <f t="shared" si="5"/>
        <v>12215.594999999999</v>
      </c>
      <c r="F30" s="94">
        <f t="shared" si="5"/>
        <v>4071.8683333333329</v>
      </c>
      <c r="G30" s="59">
        <f t="shared" si="5"/>
        <v>0</v>
      </c>
      <c r="H30" s="59">
        <f t="shared" si="5"/>
        <v>0</v>
      </c>
      <c r="I30" s="44"/>
      <c r="J30" s="132"/>
      <c r="K30" s="44"/>
      <c r="L30" s="57"/>
      <c r="M30" s="57"/>
      <c r="N30" s="57"/>
      <c r="O30" s="57"/>
      <c r="S30" s="14">
        <f t="shared" si="4"/>
        <v>21928.131666666668</v>
      </c>
      <c r="T30" s="23">
        <v>40415</v>
      </c>
      <c r="V30" s="89" t="s">
        <v>32</v>
      </c>
    </row>
    <row r="31" spans="1:26" ht="13.5" thickBot="1">
      <c r="A31" s="63"/>
      <c r="B31" s="64"/>
      <c r="C31" s="159">
        <f>B30*0.075</f>
        <v>12215.595249999997</v>
      </c>
      <c r="D31" s="160">
        <f>B30*0.025</f>
        <v>4071.8650833333327</v>
      </c>
      <c r="E31" s="64">
        <f>C31</f>
        <v>12215.595249999997</v>
      </c>
      <c r="F31" s="64">
        <f>D31</f>
        <v>4071.8650833333327</v>
      </c>
      <c r="G31" s="65"/>
      <c r="H31" s="65"/>
      <c r="I31" s="44"/>
      <c r="J31" s="132"/>
      <c r="K31" s="44"/>
      <c r="L31" s="57"/>
      <c r="M31" s="57"/>
      <c r="N31" s="57"/>
      <c r="O31" s="57"/>
      <c r="S31" s="14">
        <f t="shared" si="4"/>
        <v>21928.131666666668</v>
      </c>
      <c r="T31" s="23">
        <v>40066</v>
      </c>
      <c r="V31" s="89" t="s">
        <v>32</v>
      </c>
    </row>
    <row r="32" spans="1:26">
      <c r="B32" s="31" t="s">
        <v>128</v>
      </c>
      <c r="C32" s="31">
        <f>C30-C31</f>
        <v>-2.499999973224476E-4</v>
      </c>
      <c r="D32" s="31">
        <f>D30-D31</f>
        <v>3.2500000002073648E-3</v>
      </c>
      <c r="E32" s="31">
        <f>E30-E31</f>
        <v>-2.499999973224476E-4</v>
      </c>
      <c r="F32" s="31">
        <f>F30-F31</f>
        <v>3.2500000002073648E-3</v>
      </c>
      <c r="G32" s="45"/>
      <c r="H32" s="45"/>
      <c r="I32" s="57"/>
      <c r="J32" s="57"/>
      <c r="K32" s="57"/>
      <c r="L32" s="57"/>
      <c r="M32" s="57"/>
      <c r="N32" s="57"/>
      <c r="O32" s="57"/>
      <c r="S32" s="14">
        <f t="shared" si="4"/>
        <v>21928.131666666668</v>
      </c>
      <c r="T32" s="23">
        <v>40081</v>
      </c>
      <c r="V32" s="89" t="s">
        <v>32</v>
      </c>
    </row>
    <row r="33" spans="2:20" ht="15">
      <c r="C33" s="140"/>
      <c r="E33" s="141"/>
      <c r="F33" s="141"/>
      <c r="H33" s="36"/>
      <c r="I33" s="57"/>
      <c r="J33" s="57"/>
      <c r="K33" s="57"/>
      <c r="L33" s="57"/>
      <c r="M33" s="57"/>
      <c r="N33" s="57"/>
      <c r="O33" s="57"/>
      <c r="S33" s="14">
        <f t="shared" si="4"/>
        <v>21928.131666666668</v>
      </c>
      <c r="T33" s="23">
        <v>40096</v>
      </c>
    </row>
    <row r="34" spans="2:20">
      <c r="B34" s="123"/>
      <c r="C34" s="161" t="s">
        <v>130</v>
      </c>
      <c r="D34" s="162"/>
      <c r="E34" s="162"/>
      <c r="F34" s="123"/>
      <c r="G34" s="69"/>
      <c r="H34" s="69"/>
      <c r="I34" s="57"/>
      <c r="J34" s="57"/>
      <c r="K34" s="57"/>
      <c r="L34" s="57"/>
      <c r="M34" s="57"/>
      <c r="N34" s="57"/>
      <c r="O34" s="57"/>
      <c r="S34" s="14">
        <f t="shared" si="4"/>
        <v>21928.131666666668</v>
      </c>
      <c r="T34" s="23">
        <v>40111</v>
      </c>
    </row>
    <row r="35" spans="2:20">
      <c r="C35" s="31"/>
      <c r="D35" s="31"/>
      <c r="G35" s="36"/>
      <c r="I35" s="57"/>
      <c r="J35" s="57"/>
      <c r="K35" s="57"/>
      <c r="L35" s="57"/>
      <c r="M35" s="57"/>
      <c r="N35" s="57"/>
      <c r="O35" s="57"/>
      <c r="S35" s="14">
        <f t="shared" si="4"/>
        <v>21928.131666666668</v>
      </c>
      <c r="T35" s="23">
        <v>40127</v>
      </c>
    </row>
    <row r="36" spans="2:20">
      <c r="C36" s="31"/>
      <c r="D36" s="31"/>
      <c r="G36" s="36"/>
      <c r="I36" s="70"/>
      <c r="J36" s="57"/>
      <c r="K36" s="57"/>
      <c r="L36" s="57"/>
      <c r="M36" s="57"/>
      <c r="N36" s="57"/>
      <c r="O36" s="57"/>
      <c r="S36" s="14">
        <f t="shared" si="4"/>
        <v>21928.131666666668</v>
      </c>
      <c r="T36" s="23">
        <v>40142</v>
      </c>
    </row>
    <row r="37" spans="2:20">
      <c r="C37" s="31"/>
      <c r="D37" s="31"/>
      <c r="I37" s="57"/>
      <c r="J37" s="57"/>
      <c r="K37" s="57"/>
      <c r="L37" s="57"/>
      <c r="M37" s="57"/>
      <c r="N37" s="57"/>
      <c r="O37" s="57"/>
      <c r="S37" s="14">
        <f t="shared" si="4"/>
        <v>21928.131666666668</v>
      </c>
      <c r="T37" s="23">
        <v>40157</v>
      </c>
    </row>
    <row r="38" spans="2:20" ht="13.5" thickBot="1">
      <c r="C38" s="31"/>
      <c r="D38" s="31"/>
      <c r="I38" s="57"/>
      <c r="J38" s="57"/>
      <c r="K38" s="57"/>
      <c r="L38" s="57"/>
      <c r="M38" s="57"/>
      <c r="N38" s="57"/>
      <c r="O38" s="57"/>
      <c r="P38" s="5" t="s">
        <v>42</v>
      </c>
      <c r="S38" s="19">
        <f t="shared" si="4"/>
        <v>21928.131666666668</v>
      </c>
      <c r="T38" s="71">
        <v>39441</v>
      </c>
    </row>
    <row r="39" spans="2:20">
      <c r="I39" s="57"/>
      <c r="J39" s="57"/>
      <c r="K39" s="57"/>
      <c r="L39" s="57"/>
      <c r="M39" s="57"/>
      <c r="N39" s="57"/>
      <c r="O39" s="57"/>
    </row>
    <row r="40" spans="2:20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2:20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2:20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  <row r="43" spans="2:20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</row>
    <row r="44" spans="2:20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2:20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20">
      <c r="B46" s="70"/>
      <c r="C46" s="70"/>
      <c r="D46" s="70"/>
      <c r="E46" s="70"/>
      <c r="F46" s="70"/>
      <c r="G46" s="57"/>
      <c r="H46" s="57"/>
    </row>
    <row r="48" spans="2:20">
      <c r="C48" s="31"/>
      <c r="D48" s="31"/>
    </row>
  </sheetData>
  <mergeCells count="7">
    <mergeCell ref="L25:N25"/>
    <mergeCell ref="B1:C1"/>
    <mergeCell ref="M1:N1"/>
    <mergeCell ref="B2:C2"/>
    <mergeCell ref="L14:N14"/>
    <mergeCell ref="L15:N15"/>
    <mergeCell ref="L24:N24"/>
  </mergeCells>
  <pageMargins left="0.45" right="0.4" top="1" bottom="0.72" header="0.5" footer="0.5"/>
  <pageSetup paperSize="1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03">
    <tabColor rgb="FF7030A0"/>
  </sheetPr>
  <dimension ref="A1:WVW48"/>
  <sheetViews>
    <sheetView zoomScale="85" zoomScaleNormal="85" workbookViewId="0">
      <selection activeCell="F42" sqref="F42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2" width="12.7109375" style="5" hidden="1" customWidth="1"/>
    <col min="13" max="14" width="17.7109375" style="5" hidden="1" customWidth="1"/>
    <col min="15" max="15" width="9.28515625" style="5" hidden="1" customWidth="1"/>
    <col min="16" max="19" width="11.28515625" style="5" customWidth="1"/>
    <col min="20" max="20" width="19.7109375" style="5" customWidth="1"/>
    <col min="21" max="259" width="9.140625" style="5"/>
    <col min="260" max="260" width="10.42578125" style="5" bestFit="1" customWidth="1"/>
    <col min="261" max="261" width="13.42578125" style="5" customWidth="1"/>
    <col min="262" max="262" width="12.42578125" style="5" customWidth="1"/>
    <col min="263" max="263" width="12.5703125" style="5" customWidth="1"/>
    <col min="264" max="266" width="13" style="5" customWidth="1"/>
    <col min="267" max="267" width="14.7109375" style="5" customWidth="1"/>
    <col min="268" max="271" width="9.28515625" style="5" hidden="1" customWidth="1"/>
    <col min="272" max="275" width="11.28515625" style="5" customWidth="1"/>
    <col min="276" max="276" width="19.7109375" style="5" customWidth="1"/>
    <col min="277" max="515" width="9.140625" style="5"/>
    <col min="516" max="516" width="10.42578125" style="5" bestFit="1" customWidth="1"/>
    <col min="517" max="517" width="13.42578125" style="5" customWidth="1"/>
    <col min="518" max="518" width="12.42578125" style="5" customWidth="1"/>
    <col min="519" max="519" width="12.5703125" style="5" customWidth="1"/>
    <col min="520" max="522" width="13" style="5" customWidth="1"/>
    <col min="523" max="523" width="14.7109375" style="5" customWidth="1"/>
    <col min="524" max="527" width="9.28515625" style="5" hidden="1" customWidth="1"/>
    <col min="528" max="531" width="11.28515625" style="5" customWidth="1"/>
    <col min="532" max="532" width="19.7109375" style="5" customWidth="1"/>
    <col min="533" max="771" width="9.140625" style="5"/>
    <col min="772" max="772" width="10.42578125" style="5" bestFit="1" customWidth="1"/>
    <col min="773" max="773" width="13.42578125" style="5" customWidth="1"/>
    <col min="774" max="774" width="12.42578125" style="5" customWidth="1"/>
    <col min="775" max="775" width="12.5703125" style="5" customWidth="1"/>
    <col min="776" max="778" width="13" style="5" customWidth="1"/>
    <col min="779" max="779" width="14.7109375" style="5" customWidth="1"/>
    <col min="780" max="783" width="9.28515625" style="5" hidden="1" customWidth="1"/>
    <col min="784" max="787" width="11.28515625" style="5" customWidth="1"/>
    <col min="788" max="788" width="19.7109375" style="5" customWidth="1"/>
    <col min="789" max="1027" width="9.140625" style="5"/>
    <col min="1028" max="1028" width="10.42578125" style="5" bestFit="1" customWidth="1"/>
    <col min="1029" max="1029" width="13.42578125" style="5" customWidth="1"/>
    <col min="1030" max="1030" width="12.42578125" style="5" customWidth="1"/>
    <col min="1031" max="1031" width="12.5703125" style="5" customWidth="1"/>
    <col min="1032" max="1034" width="13" style="5" customWidth="1"/>
    <col min="1035" max="1035" width="14.7109375" style="5" customWidth="1"/>
    <col min="1036" max="1039" width="9.28515625" style="5" hidden="1" customWidth="1"/>
    <col min="1040" max="1043" width="11.28515625" style="5" customWidth="1"/>
    <col min="1044" max="1044" width="19.7109375" style="5" customWidth="1"/>
    <col min="1045" max="1283" width="9.140625" style="5"/>
    <col min="1284" max="1284" width="10.42578125" style="5" bestFit="1" customWidth="1"/>
    <col min="1285" max="1285" width="13.42578125" style="5" customWidth="1"/>
    <col min="1286" max="1286" width="12.42578125" style="5" customWidth="1"/>
    <col min="1287" max="1287" width="12.5703125" style="5" customWidth="1"/>
    <col min="1288" max="1290" width="13" style="5" customWidth="1"/>
    <col min="1291" max="1291" width="14.7109375" style="5" customWidth="1"/>
    <col min="1292" max="1295" width="9.28515625" style="5" hidden="1" customWidth="1"/>
    <col min="1296" max="1299" width="11.28515625" style="5" customWidth="1"/>
    <col min="1300" max="1300" width="19.7109375" style="5" customWidth="1"/>
    <col min="1301" max="1539" width="9.140625" style="5"/>
    <col min="1540" max="1540" width="10.42578125" style="5" bestFit="1" customWidth="1"/>
    <col min="1541" max="1541" width="13.42578125" style="5" customWidth="1"/>
    <col min="1542" max="1542" width="12.42578125" style="5" customWidth="1"/>
    <col min="1543" max="1543" width="12.5703125" style="5" customWidth="1"/>
    <col min="1544" max="1546" width="13" style="5" customWidth="1"/>
    <col min="1547" max="1547" width="14.7109375" style="5" customWidth="1"/>
    <col min="1548" max="1551" width="9.28515625" style="5" hidden="1" customWidth="1"/>
    <col min="1552" max="1555" width="11.28515625" style="5" customWidth="1"/>
    <col min="1556" max="1556" width="19.7109375" style="5" customWidth="1"/>
    <col min="1557" max="1795" width="9.140625" style="5"/>
    <col min="1796" max="1796" width="10.42578125" style="5" bestFit="1" customWidth="1"/>
    <col min="1797" max="1797" width="13.42578125" style="5" customWidth="1"/>
    <col min="1798" max="1798" width="12.42578125" style="5" customWidth="1"/>
    <col min="1799" max="1799" width="12.5703125" style="5" customWidth="1"/>
    <col min="1800" max="1802" width="13" style="5" customWidth="1"/>
    <col min="1803" max="1803" width="14.7109375" style="5" customWidth="1"/>
    <col min="1804" max="1807" width="9.28515625" style="5" hidden="1" customWidth="1"/>
    <col min="1808" max="1811" width="11.28515625" style="5" customWidth="1"/>
    <col min="1812" max="1812" width="19.7109375" style="5" customWidth="1"/>
    <col min="1813" max="2051" width="9.140625" style="5"/>
    <col min="2052" max="2052" width="10.42578125" style="5" bestFit="1" customWidth="1"/>
    <col min="2053" max="2053" width="13.42578125" style="5" customWidth="1"/>
    <col min="2054" max="2054" width="12.42578125" style="5" customWidth="1"/>
    <col min="2055" max="2055" width="12.5703125" style="5" customWidth="1"/>
    <col min="2056" max="2058" width="13" style="5" customWidth="1"/>
    <col min="2059" max="2059" width="14.7109375" style="5" customWidth="1"/>
    <col min="2060" max="2063" width="9.28515625" style="5" hidden="1" customWidth="1"/>
    <col min="2064" max="2067" width="11.28515625" style="5" customWidth="1"/>
    <col min="2068" max="2068" width="19.7109375" style="5" customWidth="1"/>
    <col min="2069" max="2307" width="9.140625" style="5"/>
    <col min="2308" max="2308" width="10.42578125" style="5" bestFit="1" customWidth="1"/>
    <col min="2309" max="2309" width="13.42578125" style="5" customWidth="1"/>
    <col min="2310" max="2310" width="12.42578125" style="5" customWidth="1"/>
    <col min="2311" max="2311" width="12.5703125" style="5" customWidth="1"/>
    <col min="2312" max="2314" width="13" style="5" customWidth="1"/>
    <col min="2315" max="2315" width="14.7109375" style="5" customWidth="1"/>
    <col min="2316" max="2319" width="9.28515625" style="5" hidden="1" customWidth="1"/>
    <col min="2320" max="2323" width="11.28515625" style="5" customWidth="1"/>
    <col min="2324" max="2324" width="19.7109375" style="5" customWidth="1"/>
    <col min="2325" max="2563" width="9.140625" style="5"/>
    <col min="2564" max="2564" width="10.42578125" style="5" bestFit="1" customWidth="1"/>
    <col min="2565" max="2565" width="13.42578125" style="5" customWidth="1"/>
    <col min="2566" max="2566" width="12.42578125" style="5" customWidth="1"/>
    <col min="2567" max="2567" width="12.5703125" style="5" customWidth="1"/>
    <col min="2568" max="2570" width="13" style="5" customWidth="1"/>
    <col min="2571" max="2571" width="14.7109375" style="5" customWidth="1"/>
    <col min="2572" max="2575" width="9.28515625" style="5" hidden="1" customWidth="1"/>
    <col min="2576" max="2579" width="11.28515625" style="5" customWidth="1"/>
    <col min="2580" max="2580" width="19.7109375" style="5" customWidth="1"/>
    <col min="2581" max="2819" width="9.140625" style="5"/>
    <col min="2820" max="2820" width="10.42578125" style="5" bestFit="1" customWidth="1"/>
    <col min="2821" max="2821" width="13.42578125" style="5" customWidth="1"/>
    <col min="2822" max="2822" width="12.42578125" style="5" customWidth="1"/>
    <col min="2823" max="2823" width="12.5703125" style="5" customWidth="1"/>
    <col min="2824" max="2826" width="13" style="5" customWidth="1"/>
    <col min="2827" max="2827" width="14.7109375" style="5" customWidth="1"/>
    <col min="2828" max="2831" width="9.28515625" style="5" hidden="1" customWidth="1"/>
    <col min="2832" max="2835" width="11.28515625" style="5" customWidth="1"/>
    <col min="2836" max="2836" width="19.7109375" style="5" customWidth="1"/>
    <col min="2837" max="3075" width="9.140625" style="5"/>
    <col min="3076" max="3076" width="10.42578125" style="5" bestFit="1" customWidth="1"/>
    <col min="3077" max="3077" width="13.42578125" style="5" customWidth="1"/>
    <col min="3078" max="3078" width="12.42578125" style="5" customWidth="1"/>
    <col min="3079" max="3079" width="12.5703125" style="5" customWidth="1"/>
    <col min="3080" max="3082" width="13" style="5" customWidth="1"/>
    <col min="3083" max="3083" width="14.7109375" style="5" customWidth="1"/>
    <col min="3084" max="3087" width="9.28515625" style="5" hidden="1" customWidth="1"/>
    <col min="3088" max="3091" width="11.28515625" style="5" customWidth="1"/>
    <col min="3092" max="3092" width="19.7109375" style="5" customWidth="1"/>
    <col min="3093" max="3331" width="9.140625" style="5"/>
    <col min="3332" max="3332" width="10.42578125" style="5" bestFit="1" customWidth="1"/>
    <col min="3333" max="3333" width="13.42578125" style="5" customWidth="1"/>
    <col min="3334" max="3334" width="12.42578125" style="5" customWidth="1"/>
    <col min="3335" max="3335" width="12.5703125" style="5" customWidth="1"/>
    <col min="3336" max="3338" width="13" style="5" customWidth="1"/>
    <col min="3339" max="3339" width="14.7109375" style="5" customWidth="1"/>
    <col min="3340" max="3343" width="9.28515625" style="5" hidden="1" customWidth="1"/>
    <col min="3344" max="3347" width="11.28515625" style="5" customWidth="1"/>
    <col min="3348" max="3348" width="19.7109375" style="5" customWidth="1"/>
    <col min="3349" max="3587" width="9.140625" style="5"/>
    <col min="3588" max="3588" width="10.42578125" style="5" bestFit="1" customWidth="1"/>
    <col min="3589" max="3589" width="13.42578125" style="5" customWidth="1"/>
    <col min="3590" max="3590" width="12.42578125" style="5" customWidth="1"/>
    <col min="3591" max="3591" width="12.5703125" style="5" customWidth="1"/>
    <col min="3592" max="3594" width="13" style="5" customWidth="1"/>
    <col min="3595" max="3595" width="14.7109375" style="5" customWidth="1"/>
    <col min="3596" max="3599" width="9.28515625" style="5" hidden="1" customWidth="1"/>
    <col min="3600" max="3603" width="11.28515625" style="5" customWidth="1"/>
    <col min="3604" max="3604" width="19.7109375" style="5" customWidth="1"/>
    <col min="3605" max="3843" width="9.140625" style="5"/>
    <col min="3844" max="3844" width="10.42578125" style="5" bestFit="1" customWidth="1"/>
    <col min="3845" max="3845" width="13.42578125" style="5" customWidth="1"/>
    <col min="3846" max="3846" width="12.42578125" style="5" customWidth="1"/>
    <col min="3847" max="3847" width="12.5703125" style="5" customWidth="1"/>
    <col min="3848" max="3850" width="13" style="5" customWidth="1"/>
    <col min="3851" max="3851" width="14.7109375" style="5" customWidth="1"/>
    <col min="3852" max="3855" width="9.28515625" style="5" hidden="1" customWidth="1"/>
    <col min="3856" max="3859" width="11.28515625" style="5" customWidth="1"/>
    <col min="3860" max="3860" width="19.7109375" style="5" customWidth="1"/>
    <col min="3861" max="4099" width="9.140625" style="5"/>
    <col min="4100" max="4100" width="10.42578125" style="5" bestFit="1" customWidth="1"/>
    <col min="4101" max="4101" width="13.42578125" style="5" customWidth="1"/>
    <col min="4102" max="4102" width="12.42578125" style="5" customWidth="1"/>
    <col min="4103" max="4103" width="12.5703125" style="5" customWidth="1"/>
    <col min="4104" max="4106" width="13" style="5" customWidth="1"/>
    <col min="4107" max="4107" width="14.7109375" style="5" customWidth="1"/>
    <col min="4108" max="4111" width="9.28515625" style="5" hidden="1" customWidth="1"/>
    <col min="4112" max="4115" width="11.28515625" style="5" customWidth="1"/>
    <col min="4116" max="4116" width="19.7109375" style="5" customWidth="1"/>
    <col min="4117" max="4355" width="9.140625" style="5"/>
    <col min="4356" max="4356" width="10.42578125" style="5" bestFit="1" customWidth="1"/>
    <col min="4357" max="4357" width="13.42578125" style="5" customWidth="1"/>
    <col min="4358" max="4358" width="12.42578125" style="5" customWidth="1"/>
    <col min="4359" max="4359" width="12.5703125" style="5" customWidth="1"/>
    <col min="4360" max="4362" width="13" style="5" customWidth="1"/>
    <col min="4363" max="4363" width="14.7109375" style="5" customWidth="1"/>
    <col min="4364" max="4367" width="9.28515625" style="5" hidden="1" customWidth="1"/>
    <col min="4368" max="4371" width="11.28515625" style="5" customWidth="1"/>
    <col min="4372" max="4372" width="19.7109375" style="5" customWidth="1"/>
    <col min="4373" max="4611" width="9.140625" style="5"/>
    <col min="4612" max="4612" width="10.42578125" style="5" bestFit="1" customWidth="1"/>
    <col min="4613" max="4613" width="13.42578125" style="5" customWidth="1"/>
    <col min="4614" max="4614" width="12.42578125" style="5" customWidth="1"/>
    <col min="4615" max="4615" width="12.5703125" style="5" customWidth="1"/>
    <col min="4616" max="4618" width="13" style="5" customWidth="1"/>
    <col min="4619" max="4619" width="14.7109375" style="5" customWidth="1"/>
    <col min="4620" max="4623" width="9.28515625" style="5" hidden="1" customWidth="1"/>
    <col min="4624" max="4627" width="11.28515625" style="5" customWidth="1"/>
    <col min="4628" max="4628" width="19.7109375" style="5" customWidth="1"/>
    <col min="4629" max="4867" width="9.140625" style="5"/>
    <col min="4868" max="4868" width="10.42578125" style="5" bestFit="1" customWidth="1"/>
    <col min="4869" max="4869" width="13.42578125" style="5" customWidth="1"/>
    <col min="4870" max="4870" width="12.42578125" style="5" customWidth="1"/>
    <col min="4871" max="4871" width="12.5703125" style="5" customWidth="1"/>
    <col min="4872" max="4874" width="13" style="5" customWidth="1"/>
    <col min="4875" max="4875" width="14.7109375" style="5" customWidth="1"/>
    <col min="4876" max="4879" width="9.28515625" style="5" hidden="1" customWidth="1"/>
    <col min="4880" max="4883" width="11.28515625" style="5" customWidth="1"/>
    <col min="4884" max="4884" width="19.7109375" style="5" customWidth="1"/>
    <col min="4885" max="5123" width="9.140625" style="5"/>
    <col min="5124" max="5124" width="10.42578125" style="5" bestFit="1" customWidth="1"/>
    <col min="5125" max="5125" width="13.42578125" style="5" customWidth="1"/>
    <col min="5126" max="5126" width="12.42578125" style="5" customWidth="1"/>
    <col min="5127" max="5127" width="12.5703125" style="5" customWidth="1"/>
    <col min="5128" max="5130" width="13" style="5" customWidth="1"/>
    <col min="5131" max="5131" width="14.7109375" style="5" customWidth="1"/>
    <col min="5132" max="5135" width="9.28515625" style="5" hidden="1" customWidth="1"/>
    <col min="5136" max="5139" width="11.28515625" style="5" customWidth="1"/>
    <col min="5140" max="5140" width="19.7109375" style="5" customWidth="1"/>
    <col min="5141" max="5379" width="9.140625" style="5"/>
    <col min="5380" max="5380" width="10.42578125" style="5" bestFit="1" customWidth="1"/>
    <col min="5381" max="5381" width="13.42578125" style="5" customWidth="1"/>
    <col min="5382" max="5382" width="12.42578125" style="5" customWidth="1"/>
    <col min="5383" max="5383" width="12.5703125" style="5" customWidth="1"/>
    <col min="5384" max="5386" width="13" style="5" customWidth="1"/>
    <col min="5387" max="5387" width="14.7109375" style="5" customWidth="1"/>
    <col min="5388" max="5391" width="9.28515625" style="5" hidden="1" customWidth="1"/>
    <col min="5392" max="5395" width="11.28515625" style="5" customWidth="1"/>
    <col min="5396" max="5396" width="19.7109375" style="5" customWidth="1"/>
    <col min="5397" max="5635" width="9.140625" style="5"/>
    <col min="5636" max="5636" width="10.42578125" style="5" bestFit="1" customWidth="1"/>
    <col min="5637" max="5637" width="13.42578125" style="5" customWidth="1"/>
    <col min="5638" max="5638" width="12.42578125" style="5" customWidth="1"/>
    <col min="5639" max="5639" width="12.5703125" style="5" customWidth="1"/>
    <col min="5640" max="5642" width="13" style="5" customWidth="1"/>
    <col min="5643" max="5643" width="14.7109375" style="5" customWidth="1"/>
    <col min="5644" max="5647" width="9.28515625" style="5" hidden="1" customWidth="1"/>
    <col min="5648" max="5651" width="11.28515625" style="5" customWidth="1"/>
    <col min="5652" max="5652" width="19.7109375" style="5" customWidth="1"/>
    <col min="5653" max="5891" width="9.140625" style="5"/>
    <col min="5892" max="5892" width="10.42578125" style="5" bestFit="1" customWidth="1"/>
    <col min="5893" max="5893" width="13.42578125" style="5" customWidth="1"/>
    <col min="5894" max="5894" width="12.42578125" style="5" customWidth="1"/>
    <col min="5895" max="5895" width="12.5703125" style="5" customWidth="1"/>
    <col min="5896" max="5898" width="13" style="5" customWidth="1"/>
    <col min="5899" max="5899" width="14.7109375" style="5" customWidth="1"/>
    <col min="5900" max="5903" width="9.28515625" style="5" hidden="1" customWidth="1"/>
    <col min="5904" max="5907" width="11.28515625" style="5" customWidth="1"/>
    <col min="5908" max="5908" width="19.7109375" style="5" customWidth="1"/>
    <col min="5909" max="6147" width="9.140625" style="5"/>
    <col min="6148" max="6148" width="10.42578125" style="5" bestFit="1" customWidth="1"/>
    <col min="6149" max="6149" width="13.42578125" style="5" customWidth="1"/>
    <col min="6150" max="6150" width="12.42578125" style="5" customWidth="1"/>
    <col min="6151" max="6151" width="12.5703125" style="5" customWidth="1"/>
    <col min="6152" max="6154" width="13" style="5" customWidth="1"/>
    <col min="6155" max="6155" width="14.7109375" style="5" customWidth="1"/>
    <col min="6156" max="6159" width="9.28515625" style="5" hidden="1" customWidth="1"/>
    <col min="6160" max="6163" width="11.28515625" style="5" customWidth="1"/>
    <col min="6164" max="6164" width="19.7109375" style="5" customWidth="1"/>
    <col min="6165" max="6403" width="9.140625" style="5"/>
    <col min="6404" max="6404" width="10.42578125" style="5" bestFit="1" customWidth="1"/>
    <col min="6405" max="6405" width="13.42578125" style="5" customWidth="1"/>
    <col min="6406" max="6406" width="12.42578125" style="5" customWidth="1"/>
    <col min="6407" max="6407" width="12.5703125" style="5" customWidth="1"/>
    <col min="6408" max="6410" width="13" style="5" customWidth="1"/>
    <col min="6411" max="6411" width="14.7109375" style="5" customWidth="1"/>
    <col min="6412" max="6415" width="9.28515625" style="5" hidden="1" customWidth="1"/>
    <col min="6416" max="6419" width="11.28515625" style="5" customWidth="1"/>
    <col min="6420" max="6420" width="19.7109375" style="5" customWidth="1"/>
    <col min="6421" max="6659" width="9.140625" style="5"/>
    <col min="6660" max="6660" width="10.42578125" style="5" bestFit="1" customWidth="1"/>
    <col min="6661" max="6661" width="13.42578125" style="5" customWidth="1"/>
    <col min="6662" max="6662" width="12.42578125" style="5" customWidth="1"/>
    <col min="6663" max="6663" width="12.5703125" style="5" customWidth="1"/>
    <col min="6664" max="6666" width="13" style="5" customWidth="1"/>
    <col min="6667" max="6667" width="14.7109375" style="5" customWidth="1"/>
    <col min="6668" max="6671" width="9.28515625" style="5" hidden="1" customWidth="1"/>
    <col min="6672" max="6675" width="11.28515625" style="5" customWidth="1"/>
    <col min="6676" max="6676" width="19.7109375" style="5" customWidth="1"/>
    <col min="6677" max="6915" width="9.140625" style="5"/>
    <col min="6916" max="6916" width="10.42578125" style="5" bestFit="1" customWidth="1"/>
    <col min="6917" max="6917" width="13.42578125" style="5" customWidth="1"/>
    <col min="6918" max="6918" width="12.42578125" style="5" customWidth="1"/>
    <col min="6919" max="6919" width="12.5703125" style="5" customWidth="1"/>
    <col min="6920" max="6922" width="13" style="5" customWidth="1"/>
    <col min="6923" max="6923" width="14.7109375" style="5" customWidth="1"/>
    <col min="6924" max="6927" width="9.28515625" style="5" hidden="1" customWidth="1"/>
    <col min="6928" max="6931" width="11.28515625" style="5" customWidth="1"/>
    <col min="6932" max="6932" width="19.7109375" style="5" customWidth="1"/>
    <col min="6933" max="7171" width="9.140625" style="5"/>
    <col min="7172" max="7172" width="10.42578125" style="5" bestFit="1" customWidth="1"/>
    <col min="7173" max="7173" width="13.42578125" style="5" customWidth="1"/>
    <col min="7174" max="7174" width="12.42578125" style="5" customWidth="1"/>
    <col min="7175" max="7175" width="12.5703125" style="5" customWidth="1"/>
    <col min="7176" max="7178" width="13" style="5" customWidth="1"/>
    <col min="7179" max="7179" width="14.7109375" style="5" customWidth="1"/>
    <col min="7180" max="7183" width="9.28515625" style="5" hidden="1" customWidth="1"/>
    <col min="7184" max="7187" width="11.28515625" style="5" customWidth="1"/>
    <col min="7188" max="7188" width="19.7109375" style="5" customWidth="1"/>
    <col min="7189" max="7427" width="9.140625" style="5"/>
    <col min="7428" max="7428" width="10.42578125" style="5" bestFit="1" customWidth="1"/>
    <col min="7429" max="7429" width="13.42578125" style="5" customWidth="1"/>
    <col min="7430" max="7430" width="12.42578125" style="5" customWidth="1"/>
    <col min="7431" max="7431" width="12.5703125" style="5" customWidth="1"/>
    <col min="7432" max="7434" width="13" style="5" customWidth="1"/>
    <col min="7435" max="7435" width="14.7109375" style="5" customWidth="1"/>
    <col min="7436" max="7439" width="9.28515625" style="5" hidden="1" customWidth="1"/>
    <col min="7440" max="7443" width="11.28515625" style="5" customWidth="1"/>
    <col min="7444" max="7444" width="19.7109375" style="5" customWidth="1"/>
    <col min="7445" max="7683" width="9.140625" style="5"/>
    <col min="7684" max="7684" width="10.42578125" style="5" bestFit="1" customWidth="1"/>
    <col min="7685" max="7685" width="13.42578125" style="5" customWidth="1"/>
    <col min="7686" max="7686" width="12.42578125" style="5" customWidth="1"/>
    <col min="7687" max="7687" width="12.5703125" style="5" customWidth="1"/>
    <col min="7688" max="7690" width="13" style="5" customWidth="1"/>
    <col min="7691" max="7691" width="14.7109375" style="5" customWidth="1"/>
    <col min="7692" max="7695" width="9.28515625" style="5" hidden="1" customWidth="1"/>
    <col min="7696" max="7699" width="11.28515625" style="5" customWidth="1"/>
    <col min="7700" max="7700" width="19.7109375" style="5" customWidth="1"/>
    <col min="7701" max="7939" width="9.140625" style="5"/>
    <col min="7940" max="7940" width="10.42578125" style="5" bestFit="1" customWidth="1"/>
    <col min="7941" max="7941" width="13.42578125" style="5" customWidth="1"/>
    <col min="7942" max="7942" width="12.42578125" style="5" customWidth="1"/>
    <col min="7943" max="7943" width="12.5703125" style="5" customWidth="1"/>
    <col min="7944" max="7946" width="13" style="5" customWidth="1"/>
    <col min="7947" max="7947" width="14.7109375" style="5" customWidth="1"/>
    <col min="7948" max="7951" width="9.28515625" style="5" hidden="1" customWidth="1"/>
    <col min="7952" max="7955" width="11.28515625" style="5" customWidth="1"/>
    <col min="7956" max="7956" width="19.7109375" style="5" customWidth="1"/>
    <col min="7957" max="8195" width="9.140625" style="5"/>
    <col min="8196" max="8196" width="10.42578125" style="5" bestFit="1" customWidth="1"/>
    <col min="8197" max="8197" width="13.42578125" style="5" customWidth="1"/>
    <col min="8198" max="8198" width="12.42578125" style="5" customWidth="1"/>
    <col min="8199" max="8199" width="12.5703125" style="5" customWidth="1"/>
    <col min="8200" max="8202" width="13" style="5" customWidth="1"/>
    <col min="8203" max="8203" width="14.7109375" style="5" customWidth="1"/>
    <col min="8204" max="8207" width="9.28515625" style="5" hidden="1" customWidth="1"/>
    <col min="8208" max="8211" width="11.28515625" style="5" customWidth="1"/>
    <col min="8212" max="8212" width="19.7109375" style="5" customWidth="1"/>
    <col min="8213" max="8451" width="9.140625" style="5"/>
    <col min="8452" max="8452" width="10.42578125" style="5" bestFit="1" customWidth="1"/>
    <col min="8453" max="8453" width="13.42578125" style="5" customWidth="1"/>
    <col min="8454" max="8454" width="12.42578125" style="5" customWidth="1"/>
    <col min="8455" max="8455" width="12.5703125" style="5" customWidth="1"/>
    <col min="8456" max="8458" width="13" style="5" customWidth="1"/>
    <col min="8459" max="8459" width="14.7109375" style="5" customWidth="1"/>
    <col min="8460" max="8463" width="9.28515625" style="5" hidden="1" customWidth="1"/>
    <col min="8464" max="8467" width="11.28515625" style="5" customWidth="1"/>
    <col min="8468" max="8468" width="19.7109375" style="5" customWidth="1"/>
    <col min="8469" max="8707" width="9.140625" style="5"/>
    <col min="8708" max="8708" width="10.42578125" style="5" bestFit="1" customWidth="1"/>
    <col min="8709" max="8709" width="13.42578125" style="5" customWidth="1"/>
    <col min="8710" max="8710" width="12.42578125" style="5" customWidth="1"/>
    <col min="8711" max="8711" width="12.5703125" style="5" customWidth="1"/>
    <col min="8712" max="8714" width="13" style="5" customWidth="1"/>
    <col min="8715" max="8715" width="14.7109375" style="5" customWidth="1"/>
    <col min="8716" max="8719" width="9.28515625" style="5" hidden="1" customWidth="1"/>
    <col min="8720" max="8723" width="11.28515625" style="5" customWidth="1"/>
    <col min="8724" max="8724" width="19.7109375" style="5" customWidth="1"/>
    <col min="8725" max="8963" width="9.140625" style="5"/>
    <col min="8964" max="8964" width="10.42578125" style="5" bestFit="1" customWidth="1"/>
    <col min="8965" max="8965" width="13.42578125" style="5" customWidth="1"/>
    <col min="8966" max="8966" width="12.42578125" style="5" customWidth="1"/>
    <col min="8967" max="8967" width="12.5703125" style="5" customWidth="1"/>
    <col min="8968" max="8970" width="13" style="5" customWidth="1"/>
    <col min="8971" max="8971" width="14.7109375" style="5" customWidth="1"/>
    <col min="8972" max="8975" width="9.28515625" style="5" hidden="1" customWidth="1"/>
    <col min="8976" max="8979" width="11.28515625" style="5" customWidth="1"/>
    <col min="8980" max="8980" width="19.7109375" style="5" customWidth="1"/>
    <col min="8981" max="9219" width="9.140625" style="5"/>
    <col min="9220" max="9220" width="10.42578125" style="5" bestFit="1" customWidth="1"/>
    <col min="9221" max="9221" width="13.42578125" style="5" customWidth="1"/>
    <col min="9222" max="9222" width="12.42578125" style="5" customWidth="1"/>
    <col min="9223" max="9223" width="12.5703125" style="5" customWidth="1"/>
    <col min="9224" max="9226" width="13" style="5" customWidth="1"/>
    <col min="9227" max="9227" width="14.7109375" style="5" customWidth="1"/>
    <col min="9228" max="9231" width="9.28515625" style="5" hidden="1" customWidth="1"/>
    <col min="9232" max="9235" width="11.28515625" style="5" customWidth="1"/>
    <col min="9236" max="9236" width="19.7109375" style="5" customWidth="1"/>
    <col min="9237" max="9475" width="9.140625" style="5"/>
    <col min="9476" max="9476" width="10.42578125" style="5" bestFit="1" customWidth="1"/>
    <col min="9477" max="9477" width="13.42578125" style="5" customWidth="1"/>
    <col min="9478" max="9478" width="12.42578125" style="5" customWidth="1"/>
    <col min="9479" max="9479" width="12.5703125" style="5" customWidth="1"/>
    <col min="9480" max="9482" width="13" style="5" customWidth="1"/>
    <col min="9483" max="9483" width="14.7109375" style="5" customWidth="1"/>
    <col min="9484" max="9487" width="9.28515625" style="5" hidden="1" customWidth="1"/>
    <col min="9488" max="9491" width="11.28515625" style="5" customWidth="1"/>
    <col min="9492" max="9492" width="19.7109375" style="5" customWidth="1"/>
    <col min="9493" max="9731" width="9.140625" style="5"/>
    <col min="9732" max="9732" width="10.42578125" style="5" bestFit="1" customWidth="1"/>
    <col min="9733" max="9733" width="13.42578125" style="5" customWidth="1"/>
    <col min="9734" max="9734" width="12.42578125" style="5" customWidth="1"/>
    <col min="9735" max="9735" width="12.5703125" style="5" customWidth="1"/>
    <col min="9736" max="9738" width="13" style="5" customWidth="1"/>
    <col min="9739" max="9739" width="14.7109375" style="5" customWidth="1"/>
    <col min="9740" max="9743" width="9.28515625" style="5" hidden="1" customWidth="1"/>
    <col min="9744" max="9747" width="11.28515625" style="5" customWidth="1"/>
    <col min="9748" max="9748" width="19.7109375" style="5" customWidth="1"/>
    <col min="9749" max="9987" width="9.140625" style="5"/>
    <col min="9988" max="9988" width="10.42578125" style="5" bestFit="1" customWidth="1"/>
    <col min="9989" max="9989" width="13.42578125" style="5" customWidth="1"/>
    <col min="9990" max="9990" width="12.42578125" style="5" customWidth="1"/>
    <col min="9991" max="9991" width="12.5703125" style="5" customWidth="1"/>
    <col min="9992" max="9994" width="13" style="5" customWidth="1"/>
    <col min="9995" max="9995" width="14.7109375" style="5" customWidth="1"/>
    <col min="9996" max="9999" width="9.28515625" style="5" hidden="1" customWidth="1"/>
    <col min="10000" max="10003" width="11.28515625" style="5" customWidth="1"/>
    <col min="10004" max="10004" width="19.7109375" style="5" customWidth="1"/>
    <col min="10005" max="10243" width="9.140625" style="5"/>
    <col min="10244" max="10244" width="10.42578125" style="5" bestFit="1" customWidth="1"/>
    <col min="10245" max="10245" width="13.42578125" style="5" customWidth="1"/>
    <col min="10246" max="10246" width="12.42578125" style="5" customWidth="1"/>
    <col min="10247" max="10247" width="12.5703125" style="5" customWidth="1"/>
    <col min="10248" max="10250" width="13" style="5" customWidth="1"/>
    <col min="10251" max="10251" width="14.7109375" style="5" customWidth="1"/>
    <col min="10252" max="10255" width="9.28515625" style="5" hidden="1" customWidth="1"/>
    <col min="10256" max="10259" width="11.28515625" style="5" customWidth="1"/>
    <col min="10260" max="10260" width="19.7109375" style="5" customWidth="1"/>
    <col min="10261" max="10499" width="9.140625" style="5"/>
    <col min="10500" max="10500" width="10.42578125" style="5" bestFit="1" customWidth="1"/>
    <col min="10501" max="10501" width="13.42578125" style="5" customWidth="1"/>
    <col min="10502" max="10502" width="12.42578125" style="5" customWidth="1"/>
    <col min="10503" max="10503" width="12.5703125" style="5" customWidth="1"/>
    <col min="10504" max="10506" width="13" style="5" customWidth="1"/>
    <col min="10507" max="10507" width="14.7109375" style="5" customWidth="1"/>
    <col min="10508" max="10511" width="9.28515625" style="5" hidden="1" customWidth="1"/>
    <col min="10512" max="10515" width="11.28515625" style="5" customWidth="1"/>
    <col min="10516" max="10516" width="19.7109375" style="5" customWidth="1"/>
    <col min="10517" max="10755" width="9.140625" style="5"/>
    <col min="10756" max="10756" width="10.42578125" style="5" bestFit="1" customWidth="1"/>
    <col min="10757" max="10757" width="13.42578125" style="5" customWidth="1"/>
    <col min="10758" max="10758" width="12.42578125" style="5" customWidth="1"/>
    <col min="10759" max="10759" width="12.5703125" style="5" customWidth="1"/>
    <col min="10760" max="10762" width="13" style="5" customWidth="1"/>
    <col min="10763" max="10763" width="14.7109375" style="5" customWidth="1"/>
    <col min="10764" max="10767" width="9.28515625" style="5" hidden="1" customWidth="1"/>
    <col min="10768" max="10771" width="11.28515625" style="5" customWidth="1"/>
    <col min="10772" max="10772" width="19.7109375" style="5" customWidth="1"/>
    <col min="10773" max="11011" width="9.140625" style="5"/>
    <col min="11012" max="11012" width="10.42578125" style="5" bestFit="1" customWidth="1"/>
    <col min="11013" max="11013" width="13.42578125" style="5" customWidth="1"/>
    <col min="11014" max="11014" width="12.42578125" style="5" customWidth="1"/>
    <col min="11015" max="11015" width="12.5703125" style="5" customWidth="1"/>
    <col min="11016" max="11018" width="13" style="5" customWidth="1"/>
    <col min="11019" max="11019" width="14.7109375" style="5" customWidth="1"/>
    <col min="11020" max="11023" width="9.28515625" style="5" hidden="1" customWidth="1"/>
    <col min="11024" max="11027" width="11.28515625" style="5" customWidth="1"/>
    <col min="11028" max="11028" width="19.7109375" style="5" customWidth="1"/>
    <col min="11029" max="11267" width="9.140625" style="5"/>
    <col min="11268" max="11268" width="10.42578125" style="5" bestFit="1" customWidth="1"/>
    <col min="11269" max="11269" width="13.42578125" style="5" customWidth="1"/>
    <col min="11270" max="11270" width="12.42578125" style="5" customWidth="1"/>
    <col min="11271" max="11271" width="12.5703125" style="5" customWidth="1"/>
    <col min="11272" max="11274" width="13" style="5" customWidth="1"/>
    <col min="11275" max="11275" width="14.7109375" style="5" customWidth="1"/>
    <col min="11276" max="11279" width="9.28515625" style="5" hidden="1" customWidth="1"/>
    <col min="11280" max="11283" width="11.28515625" style="5" customWidth="1"/>
    <col min="11284" max="11284" width="19.7109375" style="5" customWidth="1"/>
    <col min="11285" max="11523" width="9.140625" style="5"/>
    <col min="11524" max="11524" width="10.42578125" style="5" bestFit="1" customWidth="1"/>
    <col min="11525" max="11525" width="13.42578125" style="5" customWidth="1"/>
    <col min="11526" max="11526" width="12.42578125" style="5" customWidth="1"/>
    <col min="11527" max="11527" width="12.5703125" style="5" customWidth="1"/>
    <col min="11528" max="11530" width="13" style="5" customWidth="1"/>
    <col min="11531" max="11531" width="14.7109375" style="5" customWidth="1"/>
    <col min="11532" max="11535" width="9.28515625" style="5" hidden="1" customWidth="1"/>
    <col min="11536" max="11539" width="11.28515625" style="5" customWidth="1"/>
    <col min="11540" max="11540" width="19.7109375" style="5" customWidth="1"/>
    <col min="11541" max="11779" width="9.140625" style="5"/>
    <col min="11780" max="11780" width="10.42578125" style="5" bestFit="1" customWidth="1"/>
    <col min="11781" max="11781" width="13.42578125" style="5" customWidth="1"/>
    <col min="11782" max="11782" width="12.42578125" style="5" customWidth="1"/>
    <col min="11783" max="11783" width="12.5703125" style="5" customWidth="1"/>
    <col min="11784" max="11786" width="13" style="5" customWidth="1"/>
    <col min="11787" max="11787" width="14.7109375" style="5" customWidth="1"/>
    <col min="11788" max="11791" width="9.28515625" style="5" hidden="1" customWidth="1"/>
    <col min="11792" max="11795" width="11.28515625" style="5" customWidth="1"/>
    <col min="11796" max="11796" width="19.7109375" style="5" customWidth="1"/>
    <col min="11797" max="12035" width="9.140625" style="5"/>
    <col min="12036" max="12036" width="10.42578125" style="5" bestFit="1" customWidth="1"/>
    <col min="12037" max="12037" width="13.42578125" style="5" customWidth="1"/>
    <col min="12038" max="12038" width="12.42578125" style="5" customWidth="1"/>
    <col min="12039" max="12039" width="12.5703125" style="5" customWidth="1"/>
    <col min="12040" max="12042" width="13" style="5" customWidth="1"/>
    <col min="12043" max="12043" width="14.7109375" style="5" customWidth="1"/>
    <col min="12044" max="12047" width="9.28515625" style="5" hidden="1" customWidth="1"/>
    <col min="12048" max="12051" width="11.28515625" style="5" customWidth="1"/>
    <col min="12052" max="12052" width="19.7109375" style="5" customWidth="1"/>
    <col min="12053" max="12291" width="9.140625" style="5"/>
    <col min="12292" max="12292" width="10.42578125" style="5" bestFit="1" customWidth="1"/>
    <col min="12293" max="12293" width="13.42578125" style="5" customWidth="1"/>
    <col min="12294" max="12294" width="12.42578125" style="5" customWidth="1"/>
    <col min="12295" max="12295" width="12.5703125" style="5" customWidth="1"/>
    <col min="12296" max="12298" width="13" style="5" customWidth="1"/>
    <col min="12299" max="12299" width="14.7109375" style="5" customWidth="1"/>
    <col min="12300" max="12303" width="9.28515625" style="5" hidden="1" customWidth="1"/>
    <col min="12304" max="12307" width="11.28515625" style="5" customWidth="1"/>
    <col min="12308" max="12308" width="19.7109375" style="5" customWidth="1"/>
    <col min="12309" max="12547" width="9.140625" style="5"/>
    <col min="12548" max="12548" width="10.42578125" style="5" bestFit="1" customWidth="1"/>
    <col min="12549" max="12549" width="13.42578125" style="5" customWidth="1"/>
    <col min="12550" max="12550" width="12.42578125" style="5" customWidth="1"/>
    <col min="12551" max="12551" width="12.5703125" style="5" customWidth="1"/>
    <col min="12552" max="12554" width="13" style="5" customWidth="1"/>
    <col min="12555" max="12555" width="14.7109375" style="5" customWidth="1"/>
    <col min="12556" max="12559" width="9.28515625" style="5" hidden="1" customWidth="1"/>
    <col min="12560" max="12563" width="11.28515625" style="5" customWidth="1"/>
    <col min="12564" max="12564" width="19.7109375" style="5" customWidth="1"/>
    <col min="12565" max="12803" width="9.140625" style="5"/>
    <col min="12804" max="12804" width="10.42578125" style="5" bestFit="1" customWidth="1"/>
    <col min="12805" max="12805" width="13.42578125" style="5" customWidth="1"/>
    <col min="12806" max="12806" width="12.42578125" style="5" customWidth="1"/>
    <col min="12807" max="12807" width="12.5703125" style="5" customWidth="1"/>
    <col min="12808" max="12810" width="13" style="5" customWidth="1"/>
    <col min="12811" max="12811" width="14.7109375" style="5" customWidth="1"/>
    <col min="12812" max="12815" width="9.28515625" style="5" hidden="1" customWidth="1"/>
    <col min="12816" max="12819" width="11.28515625" style="5" customWidth="1"/>
    <col min="12820" max="12820" width="19.7109375" style="5" customWidth="1"/>
    <col min="12821" max="13059" width="9.140625" style="5"/>
    <col min="13060" max="13060" width="10.42578125" style="5" bestFit="1" customWidth="1"/>
    <col min="13061" max="13061" width="13.42578125" style="5" customWidth="1"/>
    <col min="13062" max="13062" width="12.42578125" style="5" customWidth="1"/>
    <col min="13063" max="13063" width="12.5703125" style="5" customWidth="1"/>
    <col min="13064" max="13066" width="13" style="5" customWidth="1"/>
    <col min="13067" max="13067" width="14.7109375" style="5" customWidth="1"/>
    <col min="13068" max="13071" width="9.28515625" style="5" hidden="1" customWidth="1"/>
    <col min="13072" max="13075" width="11.28515625" style="5" customWidth="1"/>
    <col min="13076" max="13076" width="19.7109375" style="5" customWidth="1"/>
    <col min="13077" max="13315" width="9.140625" style="5"/>
    <col min="13316" max="13316" width="10.42578125" style="5" bestFit="1" customWidth="1"/>
    <col min="13317" max="13317" width="13.42578125" style="5" customWidth="1"/>
    <col min="13318" max="13318" width="12.42578125" style="5" customWidth="1"/>
    <col min="13319" max="13319" width="12.5703125" style="5" customWidth="1"/>
    <col min="13320" max="13322" width="13" style="5" customWidth="1"/>
    <col min="13323" max="13323" width="14.7109375" style="5" customWidth="1"/>
    <col min="13324" max="13327" width="9.28515625" style="5" hidden="1" customWidth="1"/>
    <col min="13328" max="13331" width="11.28515625" style="5" customWidth="1"/>
    <col min="13332" max="13332" width="19.7109375" style="5" customWidth="1"/>
    <col min="13333" max="13571" width="9.140625" style="5"/>
    <col min="13572" max="13572" width="10.42578125" style="5" bestFit="1" customWidth="1"/>
    <col min="13573" max="13573" width="13.42578125" style="5" customWidth="1"/>
    <col min="13574" max="13574" width="12.42578125" style="5" customWidth="1"/>
    <col min="13575" max="13575" width="12.5703125" style="5" customWidth="1"/>
    <col min="13576" max="13578" width="13" style="5" customWidth="1"/>
    <col min="13579" max="13579" width="14.7109375" style="5" customWidth="1"/>
    <col min="13580" max="13583" width="9.28515625" style="5" hidden="1" customWidth="1"/>
    <col min="13584" max="13587" width="11.28515625" style="5" customWidth="1"/>
    <col min="13588" max="13588" width="19.7109375" style="5" customWidth="1"/>
    <col min="13589" max="13827" width="9.140625" style="5"/>
    <col min="13828" max="13828" width="10.42578125" style="5" bestFit="1" customWidth="1"/>
    <col min="13829" max="13829" width="13.42578125" style="5" customWidth="1"/>
    <col min="13830" max="13830" width="12.42578125" style="5" customWidth="1"/>
    <col min="13831" max="13831" width="12.5703125" style="5" customWidth="1"/>
    <col min="13832" max="13834" width="13" style="5" customWidth="1"/>
    <col min="13835" max="13835" width="14.7109375" style="5" customWidth="1"/>
    <col min="13836" max="13839" width="9.28515625" style="5" hidden="1" customWidth="1"/>
    <col min="13840" max="13843" width="11.28515625" style="5" customWidth="1"/>
    <col min="13844" max="13844" width="19.7109375" style="5" customWidth="1"/>
    <col min="13845" max="14083" width="9.140625" style="5"/>
    <col min="14084" max="14084" width="10.42578125" style="5" bestFit="1" customWidth="1"/>
    <col min="14085" max="14085" width="13.42578125" style="5" customWidth="1"/>
    <col min="14086" max="14086" width="12.42578125" style="5" customWidth="1"/>
    <col min="14087" max="14087" width="12.5703125" style="5" customWidth="1"/>
    <col min="14088" max="14090" width="13" style="5" customWidth="1"/>
    <col min="14091" max="14091" width="14.7109375" style="5" customWidth="1"/>
    <col min="14092" max="14095" width="9.28515625" style="5" hidden="1" customWidth="1"/>
    <col min="14096" max="14099" width="11.28515625" style="5" customWidth="1"/>
    <col min="14100" max="14100" width="19.7109375" style="5" customWidth="1"/>
    <col min="14101" max="14339" width="9.140625" style="5"/>
    <col min="14340" max="14340" width="10.42578125" style="5" bestFit="1" customWidth="1"/>
    <col min="14341" max="14341" width="13.42578125" style="5" customWidth="1"/>
    <col min="14342" max="14342" width="12.42578125" style="5" customWidth="1"/>
    <col min="14343" max="14343" width="12.5703125" style="5" customWidth="1"/>
    <col min="14344" max="14346" width="13" style="5" customWidth="1"/>
    <col min="14347" max="14347" width="14.7109375" style="5" customWidth="1"/>
    <col min="14348" max="14351" width="9.28515625" style="5" hidden="1" customWidth="1"/>
    <col min="14352" max="14355" width="11.28515625" style="5" customWidth="1"/>
    <col min="14356" max="14356" width="19.7109375" style="5" customWidth="1"/>
    <col min="14357" max="14595" width="9.140625" style="5"/>
    <col min="14596" max="14596" width="10.42578125" style="5" bestFit="1" customWidth="1"/>
    <col min="14597" max="14597" width="13.42578125" style="5" customWidth="1"/>
    <col min="14598" max="14598" width="12.42578125" style="5" customWidth="1"/>
    <col min="14599" max="14599" width="12.5703125" style="5" customWidth="1"/>
    <col min="14600" max="14602" width="13" style="5" customWidth="1"/>
    <col min="14603" max="14603" width="14.7109375" style="5" customWidth="1"/>
    <col min="14604" max="14607" width="9.28515625" style="5" hidden="1" customWidth="1"/>
    <col min="14608" max="14611" width="11.28515625" style="5" customWidth="1"/>
    <col min="14612" max="14612" width="19.7109375" style="5" customWidth="1"/>
    <col min="14613" max="14851" width="9.140625" style="5"/>
    <col min="14852" max="14852" width="10.42578125" style="5" bestFit="1" customWidth="1"/>
    <col min="14853" max="14853" width="13.42578125" style="5" customWidth="1"/>
    <col min="14854" max="14854" width="12.42578125" style="5" customWidth="1"/>
    <col min="14855" max="14855" width="12.5703125" style="5" customWidth="1"/>
    <col min="14856" max="14858" width="13" style="5" customWidth="1"/>
    <col min="14859" max="14859" width="14.7109375" style="5" customWidth="1"/>
    <col min="14860" max="14863" width="9.28515625" style="5" hidden="1" customWidth="1"/>
    <col min="14864" max="14867" width="11.28515625" style="5" customWidth="1"/>
    <col min="14868" max="14868" width="19.7109375" style="5" customWidth="1"/>
    <col min="14869" max="15107" width="9.140625" style="5"/>
    <col min="15108" max="15108" width="10.42578125" style="5" bestFit="1" customWidth="1"/>
    <col min="15109" max="15109" width="13.42578125" style="5" customWidth="1"/>
    <col min="15110" max="15110" width="12.42578125" style="5" customWidth="1"/>
    <col min="15111" max="15111" width="12.5703125" style="5" customWidth="1"/>
    <col min="15112" max="15114" width="13" style="5" customWidth="1"/>
    <col min="15115" max="15115" width="14.7109375" style="5" customWidth="1"/>
    <col min="15116" max="15119" width="9.28515625" style="5" hidden="1" customWidth="1"/>
    <col min="15120" max="15123" width="11.28515625" style="5" customWidth="1"/>
    <col min="15124" max="15124" width="19.7109375" style="5" customWidth="1"/>
    <col min="15125" max="15363" width="9.140625" style="5"/>
    <col min="15364" max="15364" width="10.42578125" style="5" bestFit="1" customWidth="1"/>
    <col min="15365" max="15365" width="13.42578125" style="5" customWidth="1"/>
    <col min="15366" max="15366" width="12.42578125" style="5" customWidth="1"/>
    <col min="15367" max="15367" width="12.5703125" style="5" customWidth="1"/>
    <col min="15368" max="15370" width="13" style="5" customWidth="1"/>
    <col min="15371" max="15371" width="14.7109375" style="5" customWidth="1"/>
    <col min="15372" max="15375" width="9.28515625" style="5" hidden="1" customWidth="1"/>
    <col min="15376" max="15379" width="11.28515625" style="5" customWidth="1"/>
    <col min="15380" max="15380" width="19.7109375" style="5" customWidth="1"/>
    <col min="15381" max="15619" width="9.140625" style="5"/>
    <col min="15620" max="15620" width="10.42578125" style="5" bestFit="1" customWidth="1"/>
    <col min="15621" max="15621" width="13.42578125" style="5" customWidth="1"/>
    <col min="15622" max="15622" width="12.42578125" style="5" customWidth="1"/>
    <col min="15623" max="15623" width="12.5703125" style="5" customWidth="1"/>
    <col min="15624" max="15626" width="13" style="5" customWidth="1"/>
    <col min="15627" max="15627" width="14.7109375" style="5" customWidth="1"/>
    <col min="15628" max="15631" width="9.28515625" style="5" hidden="1" customWidth="1"/>
    <col min="15632" max="15635" width="11.28515625" style="5" customWidth="1"/>
    <col min="15636" max="15636" width="19.7109375" style="5" customWidth="1"/>
    <col min="15637" max="15875" width="9.140625" style="5"/>
    <col min="15876" max="15876" width="10.42578125" style="5" bestFit="1" customWidth="1"/>
    <col min="15877" max="15877" width="13.42578125" style="5" customWidth="1"/>
    <col min="15878" max="15878" width="12.42578125" style="5" customWidth="1"/>
    <col min="15879" max="15879" width="12.5703125" style="5" customWidth="1"/>
    <col min="15880" max="15882" width="13" style="5" customWidth="1"/>
    <col min="15883" max="15883" width="14.7109375" style="5" customWidth="1"/>
    <col min="15884" max="15887" width="9.28515625" style="5" hidden="1" customWidth="1"/>
    <col min="15888" max="15891" width="11.28515625" style="5" customWidth="1"/>
    <col min="15892" max="15892" width="19.7109375" style="5" customWidth="1"/>
    <col min="15893" max="16131" width="9.140625" style="5"/>
    <col min="16132" max="16132" width="10.42578125" style="5" bestFit="1" customWidth="1"/>
    <col min="16133" max="16133" width="13.42578125" style="5" customWidth="1"/>
    <col min="16134" max="16134" width="12.42578125" style="5" customWidth="1"/>
    <col min="16135" max="16135" width="12.5703125" style="5" customWidth="1"/>
    <col min="16136" max="16138" width="13" style="5" customWidth="1"/>
    <col min="16139" max="16139" width="14.7109375" style="5" customWidth="1"/>
    <col min="16140" max="16143" width="9.28515625" style="5" hidden="1" customWidth="1"/>
    <col min="16144" max="16147" width="11.28515625" style="5" customWidth="1"/>
    <col min="16148" max="16148" width="19.7109375" style="5" customWidth="1"/>
    <col min="16149" max="16384" width="9.140625" style="5"/>
  </cols>
  <sheetData>
    <row r="1" spans="1:24" ht="13.5" thickBot="1">
      <c r="A1" s="1" t="s">
        <v>0</v>
      </c>
      <c r="B1" s="205" t="s">
        <v>129</v>
      </c>
      <c r="C1" s="205"/>
      <c r="D1" s="127"/>
      <c r="E1" s="1" t="s">
        <v>1</v>
      </c>
      <c r="F1" s="1"/>
      <c r="G1" s="2">
        <v>9</v>
      </c>
      <c r="H1" s="2"/>
      <c r="I1" s="3" t="s">
        <v>2</v>
      </c>
      <c r="J1" s="4">
        <v>44424</v>
      </c>
      <c r="M1" s="208" t="s">
        <v>3</v>
      </c>
      <c r="N1" s="208"/>
    </row>
    <row r="2" spans="1:24">
      <c r="A2" s="1" t="s">
        <v>4</v>
      </c>
      <c r="B2" s="206">
        <v>259732975</v>
      </c>
      <c r="C2" s="206"/>
      <c r="D2" s="128"/>
      <c r="G2" s="6"/>
      <c r="H2" s="6"/>
      <c r="I2" s="3" t="s">
        <v>5</v>
      </c>
      <c r="J2" s="4">
        <v>25200</v>
      </c>
      <c r="L2" s="7">
        <v>2007</v>
      </c>
      <c r="M2" s="11">
        <v>2007</v>
      </c>
      <c r="N2" s="11">
        <v>2007</v>
      </c>
      <c r="P2" s="8">
        <v>58000</v>
      </c>
      <c r="Q2" s="9"/>
      <c r="R2" s="9"/>
      <c r="S2" s="8">
        <v>19500</v>
      </c>
      <c r="T2" s="10"/>
    </row>
    <row r="3" spans="1:24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">
        <v>131250</v>
      </c>
      <c r="K3" s="49"/>
      <c r="L3" s="12" t="s">
        <v>12</v>
      </c>
      <c r="M3" s="13" t="s">
        <v>13</v>
      </c>
      <c r="N3" s="13" t="s">
        <v>13</v>
      </c>
      <c r="P3" s="14">
        <f>-SUM(C30+D30+E30)</f>
        <v>-28503.052083333336</v>
      </c>
      <c r="S3" s="14">
        <v>0</v>
      </c>
      <c r="T3" s="15" t="s">
        <v>14</v>
      </c>
      <c r="V3" s="16"/>
    </row>
    <row r="4" spans="1:24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J3/G1</f>
        <v>14583.333333333334</v>
      </c>
      <c r="K4" s="49"/>
      <c r="L4" s="12" t="s">
        <v>16</v>
      </c>
      <c r="M4" s="13" t="s">
        <v>18</v>
      </c>
      <c r="N4" s="13" t="s">
        <v>19</v>
      </c>
      <c r="P4" s="19">
        <f>SUM(P2:P3)</f>
        <v>29496.947916666664</v>
      </c>
      <c r="Q4" s="20" t="s">
        <v>44</v>
      </c>
      <c r="R4" s="20"/>
      <c r="S4" s="14">
        <v>6500</v>
      </c>
      <c r="T4" s="15" t="s">
        <v>20</v>
      </c>
      <c r="V4" s="16"/>
    </row>
    <row r="5" spans="1:24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5">
        <f>J4/2</f>
        <v>7291.666666666667</v>
      </c>
      <c r="K5" s="49"/>
      <c r="L5" s="22" t="s">
        <v>27</v>
      </c>
      <c r="M5" s="21" t="s">
        <v>28</v>
      </c>
      <c r="N5" s="21" t="s">
        <v>28</v>
      </c>
      <c r="S5" s="14">
        <f>-D30</f>
        <v>-4071.8645833333317</v>
      </c>
      <c r="T5" s="15" t="s">
        <v>29</v>
      </c>
      <c r="V5" s="16"/>
    </row>
    <row r="6" spans="1:24" ht="13.5" thickBot="1">
      <c r="A6" s="23">
        <v>40553</v>
      </c>
      <c r="B6" s="98">
        <v>5663.61</v>
      </c>
      <c r="C6" s="25">
        <f>B6*0.075</f>
        <v>424.77074999999996</v>
      </c>
      <c r="D6" s="25">
        <f>B6*0.025</f>
        <v>141.59025</v>
      </c>
      <c r="E6" s="26">
        <f>B6*0.075</f>
        <v>424.77074999999996</v>
      </c>
      <c r="F6" s="25">
        <f>B6*0.025</f>
        <v>141.59025</v>
      </c>
      <c r="G6" s="27">
        <v>0</v>
      </c>
      <c r="H6" s="27">
        <v>0</v>
      </c>
      <c r="J6" s="16"/>
      <c r="K6" s="28"/>
      <c r="L6" s="29" t="e">
        <f>IF(#REF!/5&gt;$G$6,G6,(#REF!/5))</f>
        <v>#REF!</v>
      </c>
      <c r="M6" s="30" t="e">
        <f>#REF!/5</f>
        <v>#REF!</v>
      </c>
      <c r="N6" s="30" t="e">
        <f>#REF!/5 +G6</f>
        <v>#REF!</v>
      </c>
      <c r="P6" s="76" t="s">
        <v>116</v>
      </c>
      <c r="Q6" s="77"/>
      <c r="R6" s="77"/>
      <c r="S6" s="19">
        <f>SUM(S2:S5)</f>
        <v>21928.135416666668</v>
      </c>
      <c r="T6" s="32" t="s">
        <v>93</v>
      </c>
      <c r="V6" s="16"/>
    </row>
    <row r="7" spans="1:24" ht="13.5" thickBot="1">
      <c r="A7" s="23">
        <v>40568</v>
      </c>
      <c r="B7" s="98">
        <v>5663.61</v>
      </c>
      <c r="C7" s="25">
        <f t="shared" ref="C7:C23" si="0">B7*0.075</f>
        <v>424.77074999999996</v>
      </c>
      <c r="D7" s="25">
        <f t="shared" ref="D7:D23" si="1">B7*0.025</f>
        <v>141.59025</v>
      </c>
      <c r="E7" s="26">
        <f t="shared" ref="E7:E23" si="2">B7*0.075</f>
        <v>424.77074999999996</v>
      </c>
      <c r="F7" s="25">
        <f t="shared" ref="F7:F23" si="3">B7*0.025</f>
        <v>141.59025</v>
      </c>
      <c r="G7" s="27">
        <v>0</v>
      </c>
      <c r="H7" s="27">
        <v>0</v>
      </c>
      <c r="J7" s="16"/>
      <c r="K7" s="28"/>
      <c r="L7" s="29" t="e">
        <f>IF(#REF!/5&gt;$G$6,#REF!,(#REF!/5))</f>
        <v>#REF!</v>
      </c>
      <c r="M7" s="30" t="e">
        <f>#REF!/5</f>
        <v>#REF!</v>
      </c>
      <c r="N7" s="30" t="e">
        <f>#REF!/5 +#REF!</f>
        <v>#REF!</v>
      </c>
      <c r="P7" s="76" t="s">
        <v>107</v>
      </c>
      <c r="Q7" s="77"/>
      <c r="R7" s="77"/>
      <c r="S7" s="78" t="s">
        <v>45</v>
      </c>
      <c r="T7" s="79"/>
      <c r="V7" s="16"/>
    </row>
    <row r="8" spans="1:24">
      <c r="A8" s="23">
        <v>40584</v>
      </c>
      <c r="B8" s="98">
        <v>5663.61</v>
      </c>
      <c r="C8" s="25">
        <f t="shared" si="0"/>
        <v>424.77074999999996</v>
      </c>
      <c r="D8" s="25">
        <f t="shared" si="1"/>
        <v>141.59025</v>
      </c>
      <c r="E8" s="26">
        <f t="shared" si="2"/>
        <v>424.77074999999996</v>
      </c>
      <c r="F8" s="25">
        <f t="shared" si="3"/>
        <v>141.59025</v>
      </c>
      <c r="G8" s="27">
        <v>0</v>
      </c>
      <c r="H8" s="27">
        <v>0</v>
      </c>
      <c r="J8" s="16"/>
      <c r="K8" s="28"/>
      <c r="L8" s="29" t="e">
        <f>IF(#REF!/5&gt;$G$6,G10,(#REF!/5))</f>
        <v>#REF!</v>
      </c>
      <c r="M8" s="30" t="e">
        <f>#REF!/5</f>
        <v>#REF!</v>
      </c>
      <c r="N8" s="30" t="e">
        <f>#REF!/5+G10</f>
        <v>#REF!</v>
      </c>
      <c r="P8" s="31"/>
      <c r="S8" s="33">
        <f>P4</f>
        <v>29496.947916666664</v>
      </c>
      <c r="T8" s="34" t="s">
        <v>101</v>
      </c>
      <c r="V8" s="16"/>
    </row>
    <row r="9" spans="1:24">
      <c r="A9" s="23">
        <v>40599</v>
      </c>
      <c r="B9" s="98">
        <v>5663.61</v>
      </c>
      <c r="C9" s="25">
        <f t="shared" si="0"/>
        <v>424.77074999999996</v>
      </c>
      <c r="D9" s="25">
        <f t="shared" si="1"/>
        <v>141.59025</v>
      </c>
      <c r="E9" s="26">
        <f t="shared" si="2"/>
        <v>424.77074999999996</v>
      </c>
      <c r="F9" s="25">
        <f t="shared" si="3"/>
        <v>141.59025</v>
      </c>
      <c r="G9" s="27">
        <v>0</v>
      </c>
      <c r="H9" s="27">
        <v>0</v>
      </c>
      <c r="J9" s="16"/>
      <c r="K9" s="28"/>
      <c r="L9" s="29" t="e">
        <f>IF(#REF!/5&gt;$G$6,G11,(#REF!/5))</f>
        <v>#REF!</v>
      </c>
      <c r="M9" s="30" t="e">
        <f>#REF!/5</f>
        <v>#REF!</v>
      </c>
      <c r="N9" s="30" t="e">
        <f>#REF!/5+G10</f>
        <v>#REF!</v>
      </c>
      <c r="P9" s="35"/>
      <c r="Q9" s="36"/>
      <c r="R9" s="36"/>
      <c r="S9" s="14">
        <v>0</v>
      </c>
      <c r="T9" s="15" t="s">
        <v>14</v>
      </c>
      <c r="V9" s="16"/>
    </row>
    <row r="10" spans="1:24">
      <c r="A10" s="23">
        <v>40612</v>
      </c>
      <c r="B10" s="98">
        <v>5663.61</v>
      </c>
      <c r="C10" s="25">
        <f t="shared" si="0"/>
        <v>424.77074999999996</v>
      </c>
      <c r="D10" s="25">
        <f t="shared" si="1"/>
        <v>141.59025</v>
      </c>
      <c r="E10" s="26">
        <f t="shared" si="2"/>
        <v>424.77074999999996</v>
      </c>
      <c r="F10" s="25">
        <f t="shared" si="3"/>
        <v>141.59025</v>
      </c>
      <c r="G10" s="27">
        <v>0</v>
      </c>
      <c r="H10" s="27">
        <v>0</v>
      </c>
      <c r="J10" s="80" t="s">
        <v>109</v>
      </c>
      <c r="K10" s="81"/>
      <c r="L10" s="82"/>
      <c r="M10" s="83"/>
      <c r="N10" s="83"/>
      <c r="O10" s="84"/>
      <c r="P10" s="85"/>
      <c r="Q10" s="86"/>
      <c r="R10" s="84"/>
      <c r="S10" s="14">
        <v>6500</v>
      </c>
      <c r="T10" s="15" t="s">
        <v>20</v>
      </c>
      <c r="V10" s="16"/>
    </row>
    <row r="11" spans="1:24" ht="13.5" thickBot="1">
      <c r="A11" s="23">
        <v>40627</v>
      </c>
      <c r="B11" s="98">
        <v>5663.61</v>
      </c>
      <c r="C11" s="25">
        <f t="shared" si="0"/>
        <v>424.77074999999996</v>
      </c>
      <c r="D11" s="25">
        <f t="shared" si="1"/>
        <v>141.59025</v>
      </c>
      <c r="E11" s="26">
        <f t="shared" si="2"/>
        <v>424.77074999999996</v>
      </c>
      <c r="F11" s="25">
        <f t="shared" si="3"/>
        <v>141.59025</v>
      </c>
      <c r="G11" s="27">
        <v>0</v>
      </c>
      <c r="H11" s="27">
        <v>0</v>
      </c>
      <c r="J11" s="80" t="s">
        <v>97</v>
      </c>
      <c r="K11" s="81"/>
      <c r="L11" s="87"/>
      <c r="M11" s="88"/>
      <c r="N11" s="88"/>
      <c r="O11" s="84"/>
      <c r="P11" s="85"/>
      <c r="Q11" s="86"/>
      <c r="R11" s="84"/>
      <c r="S11" s="19">
        <f>SUM(S8:S10)</f>
        <v>35996.947916666664</v>
      </c>
      <c r="T11" s="37"/>
      <c r="V11" s="41"/>
    </row>
    <row r="12" spans="1:24" ht="13.5" thickBot="1">
      <c r="A12" s="23">
        <v>40643</v>
      </c>
      <c r="B12" s="98">
        <v>5663.61</v>
      </c>
      <c r="C12" s="25">
        <f t="shared" si="0"/>
        <v>424.77074999999996</v>
      </c>
      <c r="D12" s="25">
        <f t="shared" si="1"/>
        <v>141.59025</v>
      </c>
      <c r="E12" s="26">
        <f t="shared" si="2"/>
        <v>424.77074999999996</v>
      </c>
      <c r="F12" s="25">
        <f t="shared" si="3"/>
        <v>141.59025</v>
      </c>
      <c r="G12" s="27">
        <v>0</v>
      </c>
      <c r="H12" s="27">
        <v>0</v>
      </c>
      <c r="J12" s="80" t="s">
        <v>112</v>
      </c>
      <c r="K12" s="84"/>
      <c r="L12" s="87"/>
      <c r="M12" s="88"/>
      <c r="N12" s="90"/>
      <c r="O12" s="84"/>
      <c r="P12" s="85"/>
      <c r="Q12" s="86"/>
      <c r="R12" s="84"/>
      <c r="S12" s="38"/>
      <c r="T12" s="39"/>
      <c r="V12" s="31"/>
      <c r="W12" s="31"/>
      <c r="X12" s="89"/>
    </row>
    <row r="13" spans="1:24" ht="13.5" thickBot="1">
      <c r="A13" s="23">
        <v>40658</v>
      </c>
      <c r="B13" s="98">
        <v>7291.68</v>
      </c>
      <c r="C13" s="25">
        <f t="shared" si="0"/>
        <v>546.87599999999998</v>
      </c>
      <c r="D13" s="25">
        <f t="shared" si="1"/>
        <v>182.29200000000003</v>
      </c>
      <c r="E13" s="26">
        <f t="shared" si="2"/>
        <v>546.87599999999998</v>
      </c>
      <c r="F13" s="25">
        <f t="shared" si="3"/>
        <v>182.29200000000003</v>
      </c>
      <c r="G13" s="27">
        <v>0</v>
      </c>
      <c r="H13" s="27">
        <v>0</v>
      </c>
      <c r="J13" s="80" t="s">
        <v>105</v>
      </c>
      <c r="K13" s="81"/>
      <c r="L13" s="91" t="e">
        <v>#REF!</v>
      </c>
      <c r="M13" s="92" t="e">
        <v>#REF!</v>
      </c>
      <c r="N13" s="92" t="e">
        <v>#REF!</v>
      </c>
      <c r="O13" s="84"/>
      <c r="P13" s="85"/>
      <c r="Q13" s="86"/>
      <c r="R13" s="84"/>
      <c r="S13" s="40" t="s">
        <v>30</v>
      </c>
      <c r="T13" s="10"/>
      <c r="V13" s="89"/>
      <c r="W13" s="89"/>
    </row>
    <row r="14" spans="1:24">
      <c r="A14" s="23">
        <v>40673</v>
      </c>
      <c r="B14" s="98">
        <v>7291.68</v>
      </c>
      <c r="C14" s="25">
        <f t="shared" si="0"/>
        <v>546.87599999999998</v>
      </c>
      <c r="D14" s="25">
        <f t="shared" si="1"/>
        <v>182.29200000000003</v>
      </c>
      <c r="E14" s="26">
        <f t="shared" si="2"/>
        <v>546.87599999999998</v>
      </c>
      <c r="F14" s="25">
        <f t="shared" si="3"/>
        <v>182.29200000000003</v>
      </c>
      <c r="G14" s="27">
        <v>0</v>
      </c>
      <c r="H14" s="27">
        <v>0</v>
      </c>
      <c r="L14" s="209" t="e">
        <f>IF(#REF!&gt;=0,"Total&lt;45K eligible for SRA","&gt;45K Not eligible for SRA")</f>
        <v>#REF!</v>
      </c>
      <c r="M14" s="210"/>
      <c r="N14" s="211"/>
      <c r="P14" s="31"/>
      <c r="Q14" s="41"/>
      <c r="S14" s="14">
        <f>IF(S11&lt;S6,S11,S6)</f>
        <v>21928.135416666668</v>
      </c>
      <c r="T14" s="42" t="s">
        <v>31</v>
      </c>
      <c r="V14" s="31"/>
      <c r="W14" s="31"/>
    </row>
    <row r="15" spans="1:24">
      <c r="A15" s="23">
        <v>40688</v>
      </c>
      <c r="B15" s="98">
        <v>7291.68</v>
      </c>
      <c r="C15" s="25">
        <f t="shared" si="0"/>
        <v>546.87599999999998</v>
      </c>
      <c r="D15" s="25">
        <f t="shared" si="1"/>
        <v>182.29200000000003</v>
      </c>
      <c r="E15" s="26">
        <f t="shared" si="2"/>
        <v>546.87599999999998</v>
      </c>
      <c r="F15" s="25">
        <f t="shared" si="3"/>
        <v>182.29200000000003</v>
      </c>
      <c r="G15" s="27">
        <v>0</v>
      </c>
      <c r="H15" s="27">
        <v>0</v>
      </c>
      <c r="L15" s="212" t="e">
        <f>IF(#REF!&gt;=0,IF(#REF!&gt;=0,"SRA OK","SRA need to be adjusted"), "&gt;45K Not eligible for SRA")</f>
        <v>#REF!</v>
      </c>
      <c r="M15" s="213"/>
      <c r="N15" s="214"/>
      <c r="P15" s="44"/>
      <c r="Q15" s="41"/>
      <c r="S15" s="14">
        <f t="shared" ref="S15:S38" si="4">S14-G6</f>
        <v>21928.135416666668</v>
      </c>
      <c r="T15" s="23">
        <v>40553</v>
      </c>
      <c r="V15" s="31"/>
    </row>
    <row r="16" spans="1:24">
      <c r="A16" s="23">
        <v>40704</v>
      </c>
      <c r="B16" s="98">
        <v>7291.68</v>
      </c>
      <c r="C16" s="25">
        <f t="shared" si="0"/>
        <v>546.87599999999998</v>
      </c>
      <c r="D16" s="25">
        <f t="shared" si="1"/>
        <v>182.29200000000003</v>
      </c>
      <c r="E16" s="26">
        <f t="shared" si="2"/>
        <v>546.87599999999998</v>
      </c>
      <c r="F16" s="25">
        <f t="shared" si="3"/>
        <v>182.29200000000003</v>
      </c>
      <c r="G16" s="27">
        <v>0</v>
      </c>
      <c r="H16" s="27">
        <v>0</v>
      </c>
      <c r="I16" s="3"/>
      <c r="L16" s="45"/>
      <c r="M16" s="45"/>
      <c r="N16" s="45"/>
      <c r="O16" s="45"/>
      <c r="P16" s="45"/>
      <c r="Q16" s="46"/>
      <c r="R16" s="46"/>
      <c r="S16" s="14">
        <f t="shared" si="4"/>
        <v>21928.135416666668</v>
      </c>
      <c r="T16" s="23">
        <v>40568</v>
      </c>
      <c r="V16" s="31"/>
    </row>
    <row r="17" spans="1:26">
      <c r="A17" s="23">
        <v>40719</v>
      </c>
      <c r="B17" s="98">
        <v>7291.68</v>
      </c>
      <c r="C17" s="25">
        <f t="shared" si="0"/>
        <v>546.87599999999998</v>
      </c>
      <c r="D17" s="25">
        <f t="shared" si="1"/>
        <v>182.29200000000003</v>
      </c>
      <c r="E17" s="26">
        <f t="shared" si="2"/>
        <v>546.87599999999998</v>
      </c>
      <c r="F17" s="25">
        <f t="shared" si="3"/>
        <v>182.29200000000003</v>
      </c>
      <c r="G17" s="27">
        <v>0</v>
      </c>
      <c r="H17" s="27">
        <v>0</v>
      </c>
      <c r="L17" s="47"/>
      <c r="M17" s="45"/>
      <c r="N17" s="45"/>
      <c r="O17" s="45"/>
      <c r="P17" s="48"/>
      <c r="Q17" s="45"/>
      <c r="R17" s="46"/>
      <c r="S17" s="14">
        <f t="shared" si="4"/>
        <v>21928.135416666668</v>
      </c>
      <c r="T17" s="23">
        <v>40584</v>
      </c>
      <c r="V17" s="31"/>
    </row>
    <row r="18" spans="1:26">
      <c r="A18" s="23">
        <v>40369</v>
      </c>
      <c r="B18" s="98">
        <v>7291.68</v>
      </c>
      <c r="C18" s="25">
        <f t="shared" si="0"/>
        <v>546.87599999999998</v>
      </c>
      <c r="D18" s="25">
        <f t="shared" si="1"/>
        <v>182.29200000000003</v>
      </c>
      <c r="E18" s="26">
        <f t="shared" si="2"/>
        <v>546.87599999999998</v>
      </c>
      <c r="F18" s="25">
        <f t="shared" si="3"/>
        <v>182.29200000000003</v>
      </c>
      <c r="G18" s="27">
        <v>0</v>
      </c>
      <c r="H18" s="27">
        <v>0</v>
      </c>
      <c r="L18" s="45"/>
      <c r="M18" s="45"/>
      <c r="N18" s="45"/>
      <c r="O18" s="45"/>
      <c r="S18" s="14">
        <f t="shared" si="4"/>
        <v>21928.135416666668</v>
      </c>
      <c r="T18" s="23">
        <v>40599</v>
      </c>
      <c r="V18" s="31"/>
      <c r="Y18" s="31"/>
      <c r="Z18" s="31"/>
    </row>
    <row r="19" spans="1:26">
      <c r="A19" s="23">
        <v>40384</v>
      </c>
      <c r="B19" s="98">
        <v>7291.68</v>
      </c>
      <c r="C19" s="25">
        <f t="shared" si="0"/>
        <v>546.87599999999998</v>
      </c>
      <c r="D19" s="25">
        <f t="shared" si="1"/>
        <v>182.29200000000003</v>
      </c>
      <c r="E19" s="26">
        <f t="shared" si="2"/>
        <v>546.87599999999998</v>
      </c>
      <c r="F19" s="25">
        <f t="shared" si="3"/>
        <v>182.29200000000003</v>
      </c>
      <c r="G19" s="27">
        <v>0</v>
      </c>
      <c r="H19" s="27">
        <v>0</v>
      </c>
      <c r="L19" s="49"/>
      <c r="S19" s="14">
        <f t="shared" si="4"/>
        <v>21928.135416666668</v>
      </c>
      <c r="T19" s="23">
        <v>40612</v>
      </c>
    </row>
    <row r="20" spans="1:26">
      <c r="A20" s="23">
        <v>40400</v>
      </c>
      <c r="B20" s="98">
        <v>7291.68</v>
      </c>
      <c r="C20" s="25">
        <f t="shared" si="0"/>
        <v>546.87599999999998</v>
      </c>
      <c r="D20" s="25">
        <f t="shared" si="1"/>
        <v>182.29200000000003</v>
      </c>
      <c r="E20" s="26">
        <f t="shared" si="2"/>
        <v>546.87599999999998</v>
      </c>
      <c r="F20" s="25">
        <f t="shared" si="3"/>
        <v>182.29200000000003</v>
      </c>
      <c r="G20" s="27">
        <v>0</v>
      </c>
      <c r="H20" s="27">
        <v>0</v>
      </c>
      <c r="I20" s="50"/>
      <c r="J20" s="45"/>
      <c r="K20" s="45"/>
      <c r="S20" s="14">
        <f t="shared" si="4"/>
        <v>21928.135416666668</v>
      </c>
      <c r="T20" s="23">
        <v>40627</v>
      </c>
    </row>
    <row r="21" spans="1:26">
      <c r="A21" s="23">
        <v>40415</v>
      </c>
      <c r="B21" s="98">
        <v>6562.5</v>
      </c>
      <c r="C21" s="25">
        <f t="shared" si="0"/>
        <v>492.1875</v>
      </c>
      <c r="D21" s="25">
        <f t="shared" si="1"/>
        <v>164.0625</v>
      </c>
      <c r="E21" s="26">
        <f t="shared" si="2"/>
        <v>492.1875</v>
      </c>
      <c r="F21" s="25">
        <f t="shared" si="3"/>
        <v>164.0625</v>
      </c>
      <c r="G21" s="27">
        <v>0</v>
      </c>
      <c r="H21" s="27">
        <v>0</v>
      </c>
      <c r="I21" s="50"/>
      <c r="J21" s="51"/>
      <c r="K21" s="45"/>
      <c r="L21" s="52"/>
      <c r="S21" s="14">
        <f t="shared" si="4"/>
        <v>21928.135416666668</v>
      </c>
      <c r="T21" s="23">
        <v>40643</v>
      </c>
      <c r="Y21" s="31"/>
    </row>
    <row r="22" spans="1:26">
      <c r="A22" s="23">
        <v>40066</v>
      </c>
      <c r="B22" s="98">
        <v>7291.68</v>
      </c>
      <c r="C22" s="25">
        <f t="shared" si="0"/>
        <v>546.87599999999998</v>
      </c>
      <c r="D22" s="25">
        <f t="shared" si="1"/>
        <v>182.29200000000003</v>
      </c>
      <c r="E22" s="26">
        <f t="shared" si="2"/>
        <v>546.87599999999998</v>
      </c>
      <c r="F22" s="25">
        <f t="shared" si="3"/>
        <v>182.29200000000003</v>
      </c>
      <c r="G22" s="27">
        <v>0</v>
      </c>
      <c r="H22" s="27">
        <v>0</v>
      </c>
      <c r="I22" s="53"/>
      <c r="J22" s="53"/>
      <c r="K22" s="53"/>
      <c r="L22" s="52"/>
      <c r="S22" s="14">
        <f t="shared" si="4"/>
        <v>21928.135416666668</v>
      </c>
      <c r="T22" s="23">
        <v>40658</v>
      </c>
      <c r="Y22" s="31"/>
    </row>
    <row r="23" spans="1:26">
      <c r="A23" s="23">
        <v>40081</v>
      </c>
      <c r="B23" s="98">
        <v>7291.68</v>
      </c>
      <c r="C23" s="25">
        <f t="shared" si="0"/>
        <v>546.87599999999998</v>
      </c>
      <c r="D23" s="25">
        <f t="shared" si="1"/>
        <v>182.29200000000003</v>
      </c>
      <c r="E23" s="26">
        <f t="shared" si="2"/>
        <v>546.87599999999998</v>
      </c>
      <c r="F23" s="25">
        <f t="shared" si="3"/>
        <v>182.29200000000003</v>
      </c>
      <c r="G23" s="27">
        <v>0</v>
      </c>
      <c r="H23" s="27">
        <v>0</v>
      </c>
      <c r="I23" s="53"/>
      <c r="J23" s="53"/>
      <c r="K23" s="53"/>
      <c r="S23" s="14">
        <f t="shared" si="4"/>
        <v>21928.135416666668</v>
      </c>
      <c r="T23" s="23">
        <v>40673</v>
      </c>
      <c r="V23" s="31"/>
      <c r="Y23" s="31"/>
    </row>
    <row r="24" spans="1:26">
      <c r="A24" s="23">
        <v>40096</v>
      </c>
      <c r="B24" s="166">
        <f>25860.54-18568.86</f>
        <v>7291.68</v>
      </c>
      <c r="C24" s="25">
        <f t="shared" ref="C24:C29" si="5">B24*0.075</f>
        <v>546.87599999999998</v>
      </c>
      <c r="D24" s="25">
        <f t="shared" ref="D24:D29" si="6">B24*0.025</f>
        <v>182.29200000000003</v>
      </c>
      <c r="E24" s="26">
        <f t="shared" ref="E24:E29" si="7">B24*0.075</f>
        <v>546.87599999999998</v>
      </c>
      <c r="F24" s="25">
        <f t="shared" ref="F24:F29" si="8">B24*0.025</f>
        <v>182.29200000000003</v>
      </c>
      <c r="G24" s="27">
        <v>0</v>
      </c>
      <c r="H24" s="27">
        <v>0</v>
      </c>
      <c r="I24" s="53"/>
      <c r="J24" s="53"/>
      <c r="K24" s="53"/>
      <c r="L24" s="207"/>
      <c r="M24" s="207"/>
      <c r="N24" s="207"/>
      <c r="S24" s="14">
        <f t="shared" si="4"/>
        <v>21928.135416666668</v>
      </c>
      <c r="T24" s="23">
        <v>40688</v>
      </c>
      <c r="V24" s="31"/>
      <c r="Y24" s="31"/>
    </row>
    <row r="25" spans="1:26">
      <c r="A25" s="23">
        <v>40111</v>
      </c>
      <c r="B25" s="98">
        <f>J5</f>
        <v>7291.666666666667</v>
      </c>
      <c r="C25" s="25">
        <f t="shared" si="5"/>
        <v>546.875</v>
      </c>
      <c r="D25" s="25">
        <f t="shared" si="6"/>
        <v>182.29166666666669</v>
      </c>
      <c r="E25" s="26">
        <f t="shared" si="7"/>
        <v>546.875</v>
      </c>
      <c r="F25" s="25">
        <f t="shared" si="8"/>
        <v>182.29166666666669</v>
      </c>
      <c r="G25" s="27">
        <v>0</v>
      </c>
      <c r="H25" s="27">
        <v>0</v>
      </c>
      <c r="I25" s="54"/>
      <c r="J25" s="55"/>
      <c r="K25" s="54"/>
      <c r="L25" s="207"/>
      <c r="M25" s="207"/>
      <c r="N25" s="207"/>
      <c r="S25" s="14">
        <f t="shared" si="4"/>
        <v>21928.135416666668</v>
      </c>
      <c r="T25" s="23">
        <v>40704</v>
      </c>
      <c r="V25" s="31"/>
    </row>
    <row r="26" spans="1:26">
      <c r="A26" s="23">
        <v>40127</v>
      </c>
      <c r="B26" s="98">
        <f>J5</f>
        <v>7291.666666666667</v>
      </c>
      <c r="C26" s="25">
        <f t="shared" si="5"/>
        <v>546.875</v>
      </c>
      <c r="D26" s="25">
        <f t="shared" si="6"/>
        <v>182.29166666666669</v>
      </c>
      <c r="E26" s="26">
        <f t="shared" si="7"/>
        <v>546.875</v>
      </c>
      <c r="F26" s="25">
        <f t="shared" si="8"/>
        <v>182.29166666666669</v>
      </c>
      <c r="G26" s="27">
        <v>0</v>
      </c>
      <c r="H26" s="27">
        <v>0</v>
      </c>
      <c r="I26" s="50"/>
      <c r="J26" s="45"/>
      <c r="K26" s="45"/>
      <c r="S26" s="14">
        <f t="shared" si="4"/>
        <v>21928.135416666668</v>
      </c>
      <c r="T26" s="23">
        <v>40719</v>
      </c>
      <c r="V26" s="31"/>
    </row>
    <row r="27" spans="1:26" ht="15" customHeight="1">
      <c r="A27" s="23">
        <v>40142</v>
      </c>
      <c r="B27" s="98">
        <f>J5</f>
        <v>7291.666666666667</v>
      </c>
      <c r="C27" s="25">
        <f t="shared" si="5"/>
        <v>546.875</v>
      </c>
      <c r="D27" s="25">
        <f t="shared" si="6"/>
        <v>182.29166666666669</v>
      </c>
      <c r="E27" s="26">
        <f t="shared" si="7"/>
        <v>546.875</v>
      </c>
      <c r="F27" s="25">
        <f t="shared" si="8"/>
        <v>182.29166666666669</v>
      </c>
      <c r="G27" s="27">
        <v>0</v>
      </c>
      <c r="H27" s="27">
        <v>0</v>
      </c>
      <c r="I27" s="56"/>
      <c r="J27" s="56"/>
      <c r="K27" s="56"/>
      <c r="S27" s="14">
        <f t="shared" si="4"/>
        <v>21928.135416666668</v>
      </c>
      <c r="T27" s="23">
        <v>40369</v>
      </c>
      <c r="V27" s="31"/>
    </row>
    <row r="28" spans="1:26">
      <c r="A28" s="23">
        <v>40157</v>
      </c>
      <c r="B28" s="98">
        <f>J5</f>
        <v>7291.666666666667</v>
      </c>
      <c r="C28" s="25">
        <f t="shared" si="5"/>
        <v>546.875</v>
      </c>
      <c r="D28" s="25">
        <f t="shared" si="6"/>
        <v>182.29166666666669</v>
      </c>
      <c r="E28" s="26">
        <f t="shared" si="7"/>
        <v>546.875</v>
      </c>
      <c r="F28" s="25">
        <f t="shared" si="8"/>
        <v>182.29166666666669</v>
      </c>
      <c r="G28" s="27">
        <v>0</v>
      </c>
      <c r="H28" s="27">
        <v>0</v>
      </c>
      <c r="I28" s="56"/>
      <c r="J28" s="56"/>
      <c r="K28" s="56"/>
      <c r="L28" s="45"/>
      <c r="M28" s="45"/>
      <c r="N28" s="45"/>
      <c r="O28" s="45"/>
      <c r="P28" s="48"/>
      <c r="Q28" s="45"/>
      <c r="R28" s="46"/>
      <c r="S28" s="14">
        <f t="shared" si="4"/>
        <v>21928.135416666668</v>
      </c>
      <c r="T28" s="23">
        <v>40384</v>
      </c>
      <c r="V28" s="89"/>
    </row>
    <row r="29" spans="1:26" ht="13.5" thickBot="1">
      <c r="A29" s="23">
        <v>39441</v>
      </c>
      <c r="B29" s="98">
        <f>J5</f>
        <v>7291.666666666667</v>
      </c>
      <c r="C29" s="25">
        <f t="shared" si="5"/>
        <v>546.875</v>
      </c>
      <c r="D29" s="126">
        <f t="shared" si="6"/>
        <v>182.29166666666669</v>
      </c>
      <c r="E29" s="97">
        <f t="shared" si="7"/>
        <v>546.875</v>
      </c>
      <c r="F29" s="97">
        <f t="shared" si="8"/>
        <v>182.29166666666669</v>
      </c>
      <c r="G29" s="27">
        <v>0</v>
      </c>
      <c r="H29" s="27">
        <v>0</v>
      </c>
      <c r="I29" s="56"/>
      <c r="J29" s="56"/>
      <c r="K29" s="56"/>
      <c r="L29" s="57"/>
      <c r="M29" s="57"/>
      <c r="N29" s="57"/>
      <c r="O29" s="57"/>
      <c r="S29" s="14">
        <f t="shared" si="4"/>
        <v>21928.135416666668</v>
      </c>
      <c r="T29" s="23">
        <v>40400</v>
      </c>
      <c r="V29" s="89" t="s">
        <v>32</v>
      </c>
    </row>
    <row r="30" spans="1:26">
      <c r="A30" s="58" t="s">
        <v>33</v>
      </c>
      <c r="B30" s="59">
        <f t="shared" ref="B30:H30" si="9">SUM(B6:B29)</f>
        <v>162874.58333333323</v>
      </c>
      <c r="C30" s="59">
        <f>SUM(C6:C29)</f>
        <v>12215.593750000002</v>
      </c>
      <c r="D30" s="94">
        <f>SUM(D6:D29)</f>
        <v>4071.8645833333317</v>
      </c>
      <c r="E30" s="94">
        <f>SUM(E6:E29)</f>
        <v>12215.593750000002</v>
      </c>
      <c r="F30" s="94">
        <f>SUM(F6:F29)</f>
        <v>4071.8645833333317</v>
      </c>
      <c r="G30" s="59">
        <f t="shared" si="9"/>
        <v>0</v>
      </c>
      <c r="H30" s="59">
        <f t="shared" si="9"/>
        <v>0</v>
      </c>
      <c r="I30" s="44"/>
      <c r="J30" s="132"/>
      <c r="K30" s="44"/>
      <c r="L30" s="57"/>
      <c r="M30" s="57"/>
      <c r="N30" s="57"/>
      <c r="O30" s="57"/>
      <c r="S30" s="14">
        <f t="shared" si="4"/>
        <v>21928.135416666668</v>
      </c>
      <c r="T30" s="23">
        <v>40415</v>
      </c>
      <c r="V30" s="89" t="s">
        <v>32</v>
      </c>
    </row>
    <row r="31" spans="1:26" ht="13.5" thickBot="1">
      <c r="A31" s="63"/>
      <c r="B31" s="64"/>
      <c r="C31" s="159">
        <f>B30*0.075</f>
        <v>12215.593749999991</v>
      </c>
      <c r="D31" s="160">
        <f>B30*0.025</f>
        <v>4071.8645833333308</v>
      </c>
      <c r="E31" s="64">
        <f>B30*0.075</f>
        <v>12215.593749999991</v>
      </c>
      <c r="F31" s="64">
        <f>B30*0.025</f>
        <v>4071.8645833333308</v>
      </c>
      <c r="G31" s="65"/>
      <c r="H31" s="65"/>
      <c r="I31" s="44"/>
      <c r="J31" s="132"/>
      <c r="K31" s="44"/>
      <c r="L31" s="57"/>
      <c r="M31" s="57"/>
      <c r="N31" s="57"/>
      <c r="O31" s="57"/>
      <c r="S31" s="14">
        <f t="shared" si="4"/>
        <v>21928.135416666668</v>
      </c>
      <c r="T31" s="23">
        <v>40066</v>
      </c>
      <c r="V31" s="89" t="s">
        <v>32</v>
      </c>
    </row>
    <row r="32" spans="1:26">
      <c r="B32" s="31" t="s">
        <v>128</v>
      </c>
      <c r="C32" s="31">
        <f>C30-C31</f>
        <v>0</v>
      </c>
      <c r="D32" s="31">
        <f>D30-D31</f>
        <v>0</v>
      </c>
      <c r="E32" s="31">
        <f>E30-E31</f>
        <v>0</v>
      </c>
      <c r="F32" s="31">
        <f>F30-F31</f>
        <v>0</v>
      </c>
      <c r="G32" s="45"/>
      <c r="H32" s="45"/>
      <c r="I32" s="57"/>
      <c r="J32" s="57"/>
      <c r="K32" s="57"/>
      <c r="L32" s="57"/>
      <c r="M32" s="57"/>
      <c r="N32" s="57"/>
      <c r="O32" s="57"/>
      <c r="S32" s="14">
        <f t="shared" si="4"/>
        <v>21928.135416666668</v>
      </c>
      <c r="T32" s="23">
        <v>40081</v>
      </c>
      <c r="V32" s="89" t="s">
        <v>32</v>
      </c>
    </row>
    <row r="33" spans="2:20" ht="15">
      <c r="C33" s="140"/>
      <c r="E33" s="141"/>
      <c r="F33" s="141"/>
      <c r="H33" s="36"/>
      <c r="I33" s="57"/>
      <c r="J33" s="57"/>
      <c r="K33" s="57"/>
      <c r="L33" s="57"/>
      <c r="M33" s="57"/>
      <c r="N33" s="57"/>
      <c r="O33" s="57"/>
      <c r="S33" s="14">
        <f t="shared" si="4"/>
        <v>21928.135416666668</v>
      </c>
      <c r="T33" s="23">
        <v>40096</v>
      </c>
    </row>
    <row r="34" spans="2:20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L34" s="57"/>
      <c r="M34" s="57"/>
      <c r="N34" s="57"/>
      <c r="O34" s="57"/>
      <c r="S34" s="14">
        <f t="shared" si="4"/>
        <v>21928.135416666668</v>
      </c>
      <c r="T34" s="23">
        <v>40111</v>
      </c>
    </row>
    <row r="35" spans="2:20">
      <c r="C35" s="31"/>
      <c r="D35" s="31"/>
      <c r="G35" s="36"/>
      <c r="I35" s="57"/>
      <c r="J35" s="57"/>
      <c r="K35" s="57"/>
      <c r="L35" s="57"/>
      <c r="M35" s="57"/>
      <c r="N35" s="57"/>
      <c r="O35" s="57"/>
      <c r="S35" s="14">
        <f t="shared" si="4"/>
        <v>21928.135416666668</v>
      </c>
      <c r="T35" s="23">
        <v>40127</v>
      </c>
    </row>
    <row r="36" spans="2:20">
      <c r="C36" s="31"/>
      <c r="D36" s="31"/>
      <c r="G36" s="36"/>
      <c r="I36" s="70"/>
      <c r="J36" s="57"/>
      <c r="K36" s="57"/>
      <c r="L36" s="57"/>
      <c r="M36" s="57"/>
      <c r="N36" s="57"/>
      <c r="O36" s="57"/>
      <c r="S36" s="14">
        <f t="shared" si="4"/>
        <v>21928.135416666668</v>
      </c>
      <c r="T36" s="23">
        <v>40142</v>
      </c>
    </row>
    <row r="37" spans="2:20">
      <c r="C37" s="31"/>
      <c r="D37" s="31"/>
      <c r="I37" s="57"/>
      <c r="J37" s="57"/>
      <c r="K37" s="57"/>
      <c r="L37" s="57"/>
      <c r="M37" s="57"/>
      <c r="N37" s="57"/>
      <c r="O37" s="57"/>
      <c r="S37" s="14">
        <f t="shared" si="4"/>
        <v>21928.135416666668</v>
      </c>
      <c r="T37" s="23">
        <v>40157</v>
      </c>
    </row>
    <row r="38" spans="2:20" ht="13.5" thickBot="1">
      <c r="B38" s="31" t="s">
        <v>141</v>
      </c>
      <c r="C38" s="31"/>
      <c r="D38" s="31"/>
      <c r="I38" s="57"/>
      <c r="J38" s="57"/>
      <c r="K38" s="57"/>
      <c r="L38" s="57"/>
      <c r="M38" s="57"/>
      <c r="N38" s="57"/>
      <c r="O38" s="57"/>
      <c r="P38" s="5" t="s">
        <v>42</v>
      </c>
      <c r="S38" s="19">
        <f t="shared" si="4"/>
        <v>21928.135416666668</v>
      </c>
      <c r="T38" s="71">
        <v>39441</v>
      </c>
    </row>
    <row r="39" spans="2:20">
      <c r="I39" s="57"/>
      <c r="J39" s="57"/>
      <c r="K39" s="57"/>
      <c r="L39" s="57"/>
      <c r="M39" s="57"/>
      <c r="N39" s="57"/>
      <c r="O39" s="57"/>
    </row>
    <row r="40" spans="2:20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2:20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2:20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  <row r="43" spans="2:20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</row>
    <row r="44" spans="2:20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2:20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20">
      <c r="B46" s="70"/>
      <c r="C46" s="70"/>
      <c r="D46" s="70"/>
      <c r="E46" s="70"/>
      <c r="F46" s="70"/>
      <c r="G46" s="57"/>
      <c r="H46" s="57"/>
    </row>
    <row r="48" spans="2:20">
      <c r="C48" s="31"/>
      <c r="D48" s="31"/>
    </row>
  </sheetData>
  <mergeCells count="7">
    <mergeCell ref="L25:N25"/>
    <mergeCell ref="B1:C1"/>
    <mergeCell ref="M1:N1"/>
    <mergeCell ref="B2:C2"/>
    <mergeCell ref="L14:N14"/>
    <mergeCell ref="L15:N15"/>
    <mergeCell ref="L24:N24"/>
  </mergeCells>
  <pageMargins left="0.45" right="0.4" top="1" bottom="0.72" header="0.5" footer="0.5"/>
  <pageSetup paperSize="14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3">
    <tabColor rgb="FFFF0000"/>
  </sheetPr>
  <dimension ref="A1:WVV48"/>
  <sheetViews>
    <sheetView zoomScale="85" zoomScaleNormal="85" workbookViewId="0">
      <selection activeCell="B33" sqref="B33:E34"/>
    </sheetView>
  </sheetViews>
  <sheetFormatPr defaultRowHeight="12.75"/>
  <cols>
    <col min="1" max="1" width="10.42578125" style="5" bestFit="1" customWidth="1"/>
    <col min="2" max="2" width="13.42578125" style="5" customWidth="1"/>
    <col min="3" max="4" width="12.42578125" style="5" customWidth="1"/>
    <col min="5" max="5" width="12.5703125" style="5" customWidth="1"/>
    <col min="6" max="8" width="13" style="5" customWidth="1"/>
    <col min="9" max="9" width="20.7109375" style="5" customWidth="1"/>
    <col min="10" max="10" width="14.7109375" style="5" customWidth="1"/>
    <col min="11" max="11" width="12.7109375" style="5" hidden="1" customWidth="1"/>
    <col min="12" max="13" width="17.7109375" style="5" hidden="1" customWidth="1"/>
    <col min="14" max="14" width="9.28515625" style="5" hidden="1" customWidth="1"/>
    <col min="15" max="18" width="11.28515625" style="5" customWidth="1"/>
    <col min="19" max="19" width="19.7109375" style="5" customWidth="1"/>
    <col min="20" max="258" width="9.140625" style="5"/>
    <col min="259" max="259" width="10.42578125" style="5" bestFit="1" customWidth="1"/>
    <col min="260" max="260" width="13.42578125" style="5" customWidth="1"/>
    <col min="261" max="261" width="12.42578125" style="5" customWidth="1"/>
    <col min="262" max="262" width="12.5703125" style="5" customWidth="1"/>
    <col min="263" max="265" width="13" style="5" customWidth="1"/>
    <col min="266" max="266" width="14.7109375" style="5" customWidth="1"/>
    <col min="267" max="270" width="9.28515625" style="5" hidden="1" customWidth="1"/>
    <col min="271" max="274" width="11.28515625" style="5" customWidth="1"/>
    <col min="275" max="275" width="19.7109375" style="5" customWidth="1"/>
    <col min="276" max="514" width="9.140625" style="5"/>
    <col min="515" max="515" width="10.42578125" style="5" bestFit="1" customWidth="1"/>
    <col min="516" max="516" width="13.42578125" style="5" customWidth="1"/>
    <col min="517" max="517" width="12.42578125" style="5" customWidth="1"/>
    <col min="518" max="518" width="12.5703125" style="5" customWidth="1"/>
    <col min="519" max="521" width="13" style="5" customWidth="1"/>
    <col min="522" max="522" width="14.7109375" style="5" customWidth="1"/>
    <col min="523" max="526" width="9.28515625" style="5" hidden="1" customWidth="1"/>
    <col min="527" max="530" width="11.28515625" style="5" customWidth="1"/>
    <col min="531" max="531" width="19.7109375" style="5" customWidth="1"/>
    <col min="532" max="770" width="9.140625" style="5"/>
    <col min="771" max="771" width="10.42578125" style="5" bestFit="1" customWidth="1"/>
    <col min="772" max="772" width="13.42578125" style="5" customWidth="1"/>
    <col min="773" max="773" width="12.42578125" style="5" customWidth="1"/>
    <col min="774" max="774" width="12.5703125" style="5" customWidth="1"/>
    <col min="775" max="777" width="13" style="5" customWidth="1"/>
    <col min="778" max="778" width="14.7109375" style="5" customWidth="1"/>
    <col min="779" max="782" width="9.28515625" style="5" hidden="1" customWidth="1"/>
    <col min="783" max="786" width="11.28515625" style="5" customWidth="1"/>
    <col min="787" max="787" width="19.7109375" style="5" customWidth="1"/>
    <col min="788" max="1026" width="9.140625" style="5"/>
    <col min="1027" max="1027" width="10.42578125" style="5" bestFit="1" customWidth="1"/>
    <col min="1028" max="1028" width="13.42578125" style="5" customWidth="1"/>
    <col min="1029" max="1029" width="12.42578125" style="5" customWidth="1"/>
    <col min="1030" max="1030" width="12.5703125" style="5" customWidth="1"/>
    <col min="1031" max="1033" width="13" style="5" customWidth="1"/>
    <col min="1034" max="1034" width="14.7109375" style="5" customWidth="1"/>
    <col min="1035" max="1038" width="9.28515625" style="5" hidden="1" customWidth="1"/>
    <col min="1039" max="1042" width="11.28515625" style="5" customWidth="1"/>
    <col min="1043" max="1043" width="19.7109375" style="5" customWidth="1"/>
    <col min="1044" max="1282" width="9.140625" style="5"/>
    <col min="1283" max="1283" width="10.42578125" style="5" bestFit="1" customWidth="1"/>
    <col min="1284" max="1284" width="13.42578125" style="5" customWidth="1"/>
    <col min="1285" max="1285" width="12.42578125" style="5" customWidth="1"/>
    <col min="1286" max="1286" width="12.5703125" style="5" customWidth="1"/>
    <col min="1287" max="1289" width="13" style="5" customWidth="1"/>
    <col min="1290" max="1290" width="14.7109375" style="5" customWidth="1"/>
    <col min="1291" max="1294" width="9.28515625" style="5" hidden="1" customWidth="1"/>
    <col min="1295" max="1298" width="11.28515625" style="5" customWidth="1"/>
    <col min="1299" max="1299" width="19.7109375" style="5" customWidth="1"/>
    <col min="1300" max="1538" width="9.140625" style="5"/>
    <col min="1539" max="1539" width="10.42578125" style="5" bestFit="1" customWidth="1"/>
    <col min="1540" max="1540" width="13.42578125" style="5" customWidth="1"/>
    <col min="1541" max="1541" width="12.42578125" style="5" customWidth="1"/>
    <col min="1542" max="1542" width="12.5703125" style="5" customWidth="1"/>
    <col min="1543" max="1545" width="13" style="5" customWidth="1"/>
    <col min="1546" max="1546" width="14.7109375" style="5" customWidth="1"/>
    <col min="1547" max="1550" width="9.28515625" style="5" hidden="1" customWidth="1"/>
    <col min="1551" max="1554" width="11.28515625" style="5" customWidth="1"/>
    <col min="1555" max="1555" width="19.7109375" style="5" customWidth="1"/>
    <col min="1556" max="1794" width="9.140625" style="5"/>
    <col min="1795" max="1795" width="10.42578125" style="5" bestFit="1" customWidth="1"/>
    <col min="1796" max="1796" width="13.42578125" style="5" customWidth="1"/>
    <col min="1797" max="1797" width="12.42578125" style="5" customWidth="1"/>
    <col min="1798" max="1798" width="12.5703125" style="5" customWidth="1"/>
    <col min="1799" max="1801" width="13" style="5" customWidth="1"/>
    <col min="1802" max="1802" width="14.7109375" style="5" customWidth="1"/>
    <col min="1803" max="1806" width="9.28515625" style="5" hidden="1" customWidth="1"/>
    <col min="1807" max="1810" width="11.28515625" style="5" customWidth="1"/>
    <col min="1811" max="1811" width="19.7109375" style="5" customWidth="1"/>
    <col min="1812" max="2050" width="9.140625" style="5"/>
    <col min="2051" max="2051" width="10.42578125" style="5" bestFit="1" customWidth="1"/>
    <col min="2052" max="2052" width="13.42578125" style="5" customWidth="1"/>
    <col min="2053" max="2053" width="12.42578125" style="5" customWidth="1"/>
    <col min="2054" max="2054" width="12.5703125" style="5" customWidth="1"/>
    <col min="2055" max="2057" width="13" style="5" customWidth="1"/>
    <col min="2058" max="2058" width="14.7109375" style="5" customWidth="1"/>
    <col min="2059" max="2062" width="9.28515625" style="5" hidden="1" customWidth="1"/>
    <col min="2063" max="2066" width="11.28515625" style="5" customWidth="1"/>
    <col min="2067" max="2067" width="19.7109375" style="5" customWidth="1"/>
    <col min="2068" max="2306" width="9.140625" style="5"/>
    <col min="2307" max="2307" width="10.42578125" style="5" bestFit="1" customWidth="1"/>
    <col min="2308" max="2308" width="13.42578125" style="5" customWidth="1"/>
    <col min="2309" max="2309" width="12.42578125" style="5" customWidth="1"/>
    <col min="2310" max="2310" width="12.5703125" style="5" customWidth="1"/>
    <col min="2311" max="2313" width="13" style="5" customWidth="1"/>
    <col min="2314" max="2314" width="14.7109375" style="5" customWidth="1"/>
    <col min="2315" max="2318" width="9.28515625" style="5" hidden="1" customWidth="1"/>
    <col min="2319" max="2322" width="11.28515625" style="5" customWidth="1"/>
    <col min="2323" max="2323" width="19.7109375" style="5" customWidth="1"/>
    <col min="2324" max="2562" width="9.140625" style="5"/>
    <col min="2563" max="2563" width="10.42578125" style="5" bestFit="1" customWidth="1"/>
    <col min="2564" max="2564" width="13.42578125" style="5" customWidth="1"/>
    <col min="2565" max="2565" width="12.42578125" style="5" customWidth="1"/>
    <col min="2566" max="2566" width="12.5703125" style="5" customWidth="1"/>
    <col min="2567" max="2569" width="13" style="5" customWidth="1"/>
    <col min="2570" max="2570" width="14.7109375" style="5" customWidth="1"/>
    <col min="2571" max="2574" width="9.28515625" style="5" hidden="1" customWidth="1"/>
    <col min="2575" max="2578" width="11.28515625" style="5" customWidth="1"/>
    <col min="2579" max="2579" width="19.7109375" style="5" customWidth="1"/>
    <col min="2580" max="2818" width="9.140625" style="5"/>
    <col min="2819" max="2819" width="10.42578125" style="5" bestFit="1" customWidth="1"/>
    <col min="2820" max="2820" width="13.42578125" style="5" customWidth="1"/>
    <col min="2821" max="2821" width="12.42578125" style="5" customWidth="1"/>
    <col min="2822" max="2822" width="12.5703125" style="5" customWidth="1"/>
    <col min="2823" max="2825" width="13" style="5" customWidth="1"/>
    <col min="2826" max="2826" width="14.7109375" style="5" customWidth="1"/>
    <col min="2827" max="2830" width="9.28515625" style="5" hidden="1" customWidth="1"/>
    <col min="2831" max="2834" width="11.28515625" style="5" customWidth="1"/>
    <col min="2835" max="2835" width="19.7109375" style="5" customWidth="1"/>
    <col min="2836" max="3074" width="9.140625" style="5"/>
    <col min="3075" max="3075" width="10.42578125" style="5" bestFit="1" customWidth="1"/>
    <col min="3076" max="3076" width="13.42578125" style="5" customWidth="1"/>
    <col min="3077" max="3077" width="12.42578125" style="5" customWidth="1"/>
    <col min="3078" max="3078" width="12.5703125" style="5" customWidth="1"/>
    <col min="3079" max="3081" width="13" style="5" customWidth="1"/>
    <col min="3082" max="3082" width="14.7109375" style="5" customWidth="1"/>
    <col min="3083" max="3086" width="9.28515625" style="5" hidden="1" customWidth="1"/>
    <col min="3087" max="3090" width="11.28515625" style="5" customWidth="1"/>
    <col min="3091" max="3091" width="19.7109375" style="5" customWidth="1"/>
    <col min="3092" max="3330" width="9.140625" style="5"/>
    <col min="3331" max="3331" width="10.42578125" style="5" bestFit="1" customWidth="1"/>
    <col min="3332" max="3332" width="13.42578125" style="5" customWidth="1"/>
    <col min="3333" max="3333" width="12.42578125" style="5" customWidth="1"/>
    <col min="3334" max="3334" width="12.5703125" style="5" customWidth="1"/>
    <col min="3335" max="3337" width="13" style="5" customWidth="1"/>
    <col min="3338" max="3338" width="14.7109375" style="5" customWidth="1"/>
    <col min="3339" max="3342" width="9.28515625" style="5" hidden="1" customWidth="1"/>
    <col min="3343" max="3346" width="11.28515625" style="5" customWidth="1"/>
    <col min="3347" max="3347" width="19.7109375" style="5" customWidth="1"/>
    <col min="3348" max="3586" width="9.140625" style="5"/>
    <col min="3587" max="3587" width="10.42578125" style="5" bestFit="1" customWidth="1"/>
    <col min="3588" max="3588" width="13.42578125" style="5" customWidth="1"/>
    <col min="3589" max="3589" width="12.42578125" style="5" customWidth="1"/>
    <col min="3590" max="3590" width="12.5703125" style="5" customWidth="1"/>
    <col min="3591" max="3593" width="13" style="5" customWidth="1"/>
    <col min="3594" max="3594" width="14.7109375" style="5" customWidth="1"/>
    <col min="3595" max="3598" width="9.28515625" style="5" hidden="1" customWidth="1"/>
    <col min="3599" max="3602" width="11.28515625" style="5" customWidth="1"/>
    <col min="3603" max="3603" width="19.7109375" style="5" customWidth="1"/>
    <col min="3604" max="3842" width="9.140625" style="5"/>
    <col min="3843" max="3843" width="10.42578125" style="5" bestFit="1" customWidth="1"/>
    <col min="3844" max="3844" width="13.42578125" style="5" customWidth="1"/>
    <col min="3845" max="3845" width="12.42578125" style="5" customWidth="1"/>
    <col min="3846" max="3846" width="12.5703125" style="5" customWidth="1"/>
    <col min="3847" max="3849" width="13" style="5" customWidth="1"/>
    <col min="3850" max="3850" width="14.7109375" style="5" customWidth="1"/>
    <col min="3851" max="3854" width="9.28515625" style="5" hidden="1" customWidth="1"/>
    <col min="3855" max="3858" width="11.28515625" style="5" customWidth="1"/>
    <col min="3859" max="3859" width="19.7109375" style="5" customWidth="1"/>
    <col min="3860" max="4098" width="9.140625" style="5"/>
    <col min="4099" max="4099" width="10.42578125" style="5" bestFit="1" customWidth="1"/>
    <col min="4100" max="4100" width="13.42578125" style="5" customWidth="1"/>
    <col min="4101" max="4101" width="12.42578125" style="5" customWidth="1"/>
    <col min="4102" max="4102" width="12.5703125" style="5" customWidth="1"/>
    <col min="4103" max="4105" width="13" style="5" customWidth="1"/>
    <col min="4106" max="4106" width="14.7109375" style="5" customWidth="1"/>
    <col min="4107" max="4110" width="9.28515625" style="5" hidden="1" customWidth="1"/>
    <col min="4111" max="4114" width="11.28515625" style="5" customWidth="1"/>
    <col min="4115" max="4115" width="19.7109375" style="5" customWidth="1"/>
    <col min="4116" max="4354" width="9.140625" style="5"/>
    <col min="4355" max="4355" width="10.42578125" style="5" bestFit="1" customWidth="1"/>
    <col min="4356" max="4356" width="13.42578125" style="5" customWidth="1"/>
    <col min="4357" max="4357" width="12.42578125" style="5" customWidth="1"/>
    <col min="4358" max="4358" width="12.5703125" style="5" customWidth="1"/>
    <col min="4359" max="4361" width="13" style="5" customWidth="1"/>
    <col min="4362" max="4362" width="14.7109375" style="5" customWidth="1"/>
    <col min="4363" max="4366" width="9.28515625" style="5" hidden="1" customWidth="1"/>
    <col min="4367" max="4370" width="11.28515625" style="5" customWidth="1"/>
    <col min="4371" max="4371" width="19.7109375" style="5" customWidth="1"/>
    <col min="4372" max="4610" width="9.140625" style="5"/>
    <col min="4611" max="4611" width="10.42578125" style="5" bestFit="1" customWidth="1"/>
    <col min="4612" max="4612" width="13.42578125" style="5" customWidth="1"/>
    <col min="4613" max="4613" width="12.42578125" style="5" customWidth="1"/>
    <col min="4614" max="4614" width="12.5703125" style="5" customWidth="1"/>
    <col min="4615" max="4617" width="13" style="5" customWidth="1"/>
    <col min="4618" max="4618" width="14.7109375" style="5" customWidth="1"/>
    <col min="4619" max="4622" width="9.28515625" style="5" hidden="1" customWidth="1"/>
    <col min="4623" max="4626" width="11.28515625" style="5" customWidth="1"/>
    <col min="4627" max="4627" width="19.7109375" style="5" customWidth="1"/>
    <col min="4628" max="4866" width="9.140625" style="5"/>
    <col min="4867" max="4867" width="10.42578125" style="5" bestFit="1" customWidth="1"/>
    <col min="4868" max="4868" width="13.42578125" style="5" customWidth="1"/>
    <col min="4869" max="4869" width="12.42578125" style="5" customWidth="1"/>
    <col min="4870" max="4870" width="12.5703125" style="5" customWidth="1"/>
    <col min="4871" max="4873" width="13" style="5" customWidth="1"/>
    <col min="4874" max="4874" width="14.7109375" style="5" customWidth="1"/>
    <col min="4875" max="4878" width="9.28515625" style="5" hidden="1" customWidth="1"/>
    <col min="4879" max="4882" width="11.28515625" style="5" customWidth="1"/>
    <col min="4883" max="4883" width="19.7109375" style="5" customWidth="1"/>
    <col min="4884" max="5122" width="9.140625" style="5"/>
    <col min="5123" max="5123" width="10.42578125" style="5" bestFit="1" customWidth="1"/>
    <col min="5124" max="5124" width="13.42578125" style="5" customWidth="1"/>
    <col min="5125" max="5125" width="12.42578125" style="5" customWidth="1"/>
    <col min="5126" max="5126" width="12.5703125" style="5" customWidth="1"/>
    <col min="5127" max="5129" width="13" style="5" customWidth="1"/>
    <col min="5130" max="5130" width="14.7109375" style="5" customWidth="1"/>
    <col min="5131" max="5134" width="9.28515625" style="5" hidden="1" customWidth="1"/>
    <col min="5135" max="5138" width="11.28515625" style="5" customWidth="1"/>
    <col min="5139" max="5139" width="19.7109375" style="5" customWidth="1"/>
    <col min="5140" max="5378" width="9.140625" style="5"/>
    <col min="5379" max="5379" width="10.42578125" style="5" bestFit="1" customWidth="1"/>
    <col min="5380" max="5380" width="13.42578125" style="5" customWidth="1"/>
    <col min="5381" max="5381" width="12.42578125" style="5" customWidth="1"/>
    <col min="5382" max="5382" width="12.5703125" style="5" customWidth="1"/>
    <col min="5383" max="5385" width="13" style="5" customWidth="1"/>
    <col min="5386" max="5386" width="14.7109375" style="5" customWidth="1"/>
    <col min="5387" max="5390" width="9.28515625" style="5" hidden="1" customWidth="1"/>
    <col min="5391" max="5394" width="11.28515625" style="5" customWidth="1"/>
    <col min="5395" max="5395" width="19.7109375" style="5" customWidth="1"/>
    <col min="5396" max="5634" width="9.140625" style="5"/>
    <col min="5635" max="5635" width="10.42578125" style="5" bestFit="1" customWidth="1"/>
    <col min="5636" max="5636" width="13.42578125" style="5" customWidth="1"/>
    <col min="5637" max="5637" width="12.42578125" style="5" customWidth="1"/>
    <col min="5638" max="5638" width="12.5703125" style="5" customWidth="1"/>
    <col min="5639" max="5641" width="13" style="5" customWidth="1"/>
    <col min="5642" max="5642" width="14.7109375" style="5" customWidth="1"/>
    <col min="5643" max="5646" width="9.28515625" style="5" hidden="1" customWidth="1"/>
    <col min="5647" max="5650" width="11.28515625" style="5" customWidth="1"/>
    <col min="5651" max="5651" width="19.7109375" style="5" customWidth="1"/>
    <col min="5652" max="5890" width="9.140625" style="5"/>
    <col min="5891" max="5891" width="10.42578125" style="5" bestFit="1" customWidth="1"/>
    <col min="5892" max="5892" width="13.42578125" style="5" customWidth="1"/>
    <col min="5893" max="5893" width="12.42578125" style="5" customWidth="1"/>
    <col min="5894" max="5894" width="12.5703125" style="5" customWidth="1"/>
    <col min="5895" max="5897" width="13" style="5" customWidth="1"/>
    <col min="5898" max="5898" width="14.7109375" style="5" customWidth="1"/>
    <col min="5899" max="5902" width="9.28515625" style="5" hidden="1" customWidth="1"/>
    <col min="5903" max="5906" width="11.28515625" style="5" customWidth="1"/>
    <col min="5907" max="5907" width="19.7109375" style="5" customWidth="1"/>
    <col min="5908" max="6146" width="9.140625" style="5"/>
    <col min="6147" max="6147" width="10.42578125" style="5" bestFit="1" customWidth="1"/>
    <col min="6148" max="6148" width="13.42578125" style="5" customWidth="1"/>
    <col min="6149" max="6149" width="12.42578125" style="5" customWidth="1"/>
    <col min="6150" max="6150" width="12.5703125" style="5" customWidth="1"/>
    <col min="6151" max="6153" width="13" style="5" customWidth="1"/>
    <col min="6154" max="6154" width="14.7109375" style="5" customWidth="1"/>
    <col min="6155" max="6158" width="9.28515625" style="5" hidden="1" customWidth="1"/>
    <col min="6159" max="6162" width="11.28515625" style="5" customWidth="1"/>
    <col min="6163" max="6163" width="19.7109375" style="5" customWidth="1"/>
    <col min="6164" max="6402" width="9.140625" style="5"/>
    <col min="6403" max="6403" width="10.42578125" style="5" bestFit="1" customWidth="1"/>
    <col min="6404" max="6404" width="13.42578125" style="5" customWidth="1"/>
    <col min="6405" max="6405" width="12.42578125" style="5" customWidth="1"/>
    <col min="6406" max="6406" width="12.5703125" style="5" customWidth="1"/>
    <col min="6407" max="6409" width="13" style="5" customWidth="1"/>
    <col min="6410" max="6410" width="14.7109375" style="5" customWidth="1"/>
    <col min="6411" max="6414" width="9.28515625" style="5" hidden="1" customWidth="1"/>
    <col min="6415" max="6418" width="11.28515625" style="5" customWidth="1"/>
    <col min="6419" max="6419" width="19.7109375" style="5" customWidth="1"/>
    <col min="6420" max="6658" width="9.140625" style="5"/>
    <col min="6659" max="6659" width="10.42578125" style="5" bestFit="1" customWidth="1"/>
    <col min="6660" max="6660" width="13.42578125" style="5" customWidth="1"/>
    <col min="6661" max="6661" width="12.42578125" style="5" customWidth="1"/>
    <col min="6662" max="6662" width="12.5703125" style="5" customWidth="1"/>
    <col min="6663" max="6665" width="13" style="5" customWidth="1"/>
    <col min="6666" max="6666" width="14.7109375" style="5" customWidth="1"/>
    <col min="6667" max="6670" width="9.28515625" style="5" hidden="1" customWidth="1"/>
    <col min="6671" max="6674" width="11.28515625" style="5" customWidth="1"/>
    <col min="6675" max="6675" width="19.7109375" style="5" customWidth="1"/>
    <col min="6676" max="6914" width="9.140625" style="5"/>
    <col min="6915" max="6915" width="10.42578125" style="5" bestFit="1" customWidth="1"/>
    <col min="6916" max="6916" width="13.42578125" style="5" customWidth="1"/>
    <col min="6917" max="6917" width="12.42578125" style="5" customWidth="1"/>
    <col min="6918" max="6918" width="12.5703125" style="5" customWidth="1"/>
    <col min="6919" max="6921" width="13" style="5" customWidth="1"/>
    <col min="6922" max="6922" width="14.7109375" style="5" customWidth="1"/>
    <col min="6923" max="6926" width="9.28515625" style="5" hidden="1" customWidth="1"/>
    <col min="6927" max="6930" width="11.28515625" style="5" customWidth="1"/>
    <col min="6931" max="6931" width="19.7109375" style="5" customWidth="1"/>
    <col min="6932" max="7170" width="9.140625" style="5"/>
    <col min="7171" max="7171" width="10.42578125" style="5" bestFit="1" customWidth="1"/>
    <col min="7172" max="7172" width="13.42578125" style="5" customWidth="1"/>
    <col min="7173" max="7173" width="12.42578125" style="5" customWidth="1"/>
    <col min="7174" max="7174" width="12.5703125" style="5" customWidth="1"/>
    <col min="7175" max="7177" width="13" style="5" customWidth="1"/>
    <col min="7178" max="7178" width="14.7109375" style="5" customWidth="1"/>
    <col min="7179" max="7182" width="9.28515625" style="5" hidden="1" customWidth="1"/>
    <col min="7183" max="7186" width="11.28515625" style="5" customWidth="1"/>
    <col min="7187" max="7187" width="19.7109375" style="5" customWidth="1"/>
    <col min="7188" max="7426" width="9.140625" style="5"/>
    <col min="7427" max="7427" width="10.42578125" style="5" bestFit="1" customWidth="1"/>
    <col min="7428" max="7428" width="13.42578125" style="5" customWidth="1"/>
    <col min="7429" max="7429" width="12.42578125" style="5" customWidth="1"/>
    <col min="7430" max="7430" width="12.5703125" style="5" customWidth="1"/>
    <col min="7431" max="7433" width="13" style="5" customWidth="1"/>
    <col min="7434" max="7434" width="14.7109375" style="5" customWidth="1"/>
    <col min="7435" max="7438" width="9.28515625" style="5" hidden="1" customWidth="1"/>
    <col min="7439" max="7442" width="11.28515625" style="5" customWidth="1"/>
    <col min="7443" max="7443" width="19.7109375" style="5" customWidth="1"/>
    <col min="7444" max="7682" width="9.140625" style="5"/>
    <col min="7683" max="7683" width="10.42578125" style="5" bestFit="1" customWidth="1"/>
    <col min="7684" max="7684" width="13.42578125" style="5" customWidth="1"/>
    <col min="7685" max="7685" width="12.42578125" style="5" customWidth="1"/>
    <col min="7686" max="7686" width="12.5703125" style="5" customWidth="1"/>
    <col min="7687" max="7689" width="13" style="5" customWidth="1"/>
    <col min="7690" max="7690" width="14.7109375" style="5" customWidth="1"/>
    <col min="7691" max="7694" width="9.28515625" style="5" hidden="1" customWidth="1"/>
    <col min="7695" max="7698" width="11.28515625" style="5" customWidth="1"/>
    <col min="7699" max="7699" width="19.7109375" style="5" customWidth="1"/>
    <col min="7700" max="7938" width="9.140625" style="5"/>
    <col min="7939" max="7939" width="10.42578125" style="5" bestFit="1" customWidth="1"/>
    <col min="7940" max="7940" width="13.42578125" style="5" customWidth="1"/>
    <col min="7941" max="7941" width="12.42578125" style="5" customWidth="1"/>
    <col min="7942" max="7942" width="12.5703125" style="5" customWidth="1"/>
    <col min="7943" max="7945" width="13" style="5" customWidth="1"/>
    <col min="7946" max="7946" width="14.7109375" style="5" customWidth="1"/>
    <col min="7947" max="7950" width="9.28515625" style="5" hidden="1" customWidth="1"/>
    <col min="7951" max="7954" width="11.28515625" style="5" customWidth="1"/>
    <col min="7955" max="7955" width="19.7109375" style="5" customWidth="1"/>
    <col min="7956" max="8194" width="9.140625" style="5"/>
    <col min="8195" max="8195" width="10.42578125" style="5" bestFit="1" customWidth="1"/>
    <col min="8196" max="8196" width="13.42578125" style="5" customWidth="1"/>
    <col min="8197" max="8197" width="12.42578125" style="5" customWidth="1"/>
    <col min="8198" max="8198" width="12.5703125" style="5" customWidth="1"/>
    <col min="8199" max="8201" width="13" style="5" customWidth="1"/>
    <col min="8202" max="8202" width="14.7109375" style="5" customWidth="1"/>
    <col min="8203" max="8206" width="9.28515625" style="5" hidden="1" customWidth="1"/>
    <col min="8207" max="8210" width="11.28515625" style="5" customWidth="1"/>
    <col min="8211" max="8211" width="19.7109375" style="5" customWidth="1"/>
    <col min="8212" max="8450" width="9.140625" style="5"/>
    <col min="8451" max="8451" width="10.42578125" style="5" bestFit="1" customWidth="1"/>
    <col min="8452" max="8452" width="13.42578125" style="5" customWidth="1"/>
    <col min="8453" max="8453" width="12.42578125" style="5" customWidth="1"/>
    <col min="8454" max="8454" width="12.5703125" style="5" customWidth="1"/>
    <col min="8455" max="8457" width="13" style="5" customWidth="1"/>
    <col min="8458" max="8458" width="14.7109375" style="5" customWidth="1"/>
    <col min="8459" max="8462" width="9.28515625" style="5" hidden="1" customWidth="1"/>
    <col min="8463" max="8466" width="11.28515625" style="5" customWidth="1"/>
    <col min="8467" max="8467" width="19.7109375" style="5" customWidth="1"/>
    <col min="8468" max="8706" width="9.140625" style="5"/>
    <col min="8707" max="8707" width="10.42578125" style="5" bestFit="1" customWidth="1"/>
    <col min="8708" max="8708" width="13.42578125" style="5" customWidth="1"/>
    <col min="8709" max="8709" width="12.42578125" style="5" customWidth="1"/>
    <col min="8710" max="8710" width="12.5703125" style="5" customWidth="1"/>
    <col min="8711" max="8713" width="13" style="5" customWidth="1"/>
    <col min="8714" max="8714" width="14.7109375" style="5" customWidth="1"/>
    <col min="8715" max="8718" width="9.28515625" style="5" hidden="1" customWidth="1"/>
    <col min="8719" max="8722" width="11.28515625" style="5" customWidth="1"/>
    <col min="8723" max="8723" width="19.7109375" style="5" customWidth="1"/>
    <col min="8724" max="8962" width="9.140625" style="5"/>
    <col min="8963" max="8963" width="10.42578125" style="5" bestFit="1" customWidth="1"/>
    <col min="8964" max="8964" width="13.42578125" style="5" customWidth="1"/>
    <col min="8965" max="8965" width="12.42578125" style="5" customWidth="1"/>
    <col min="8966" max="8966" width="12.5703125" style="5" customWidth="1"/>
    <col min="8967" max="8969" width="13" style="5" customWidth="1"/>
    <col min="8970" max="8970" width="14.7109375" style="5" customWidth="1"/>
    <col min="8971" max="8974" width="9.28515625" style="5" hidden="1" customWidth="1"/>
    <col min="8975" max="8978" width="11.28515625" style="5" customWidth="1"/>
    <col min="8979" max="8979" width="19.7109375" style="5" customWidth="1"/>
    <col min="8980" max="9218" width="9.140625" style="5"/>
    <col min="9219" max="9219" width="10.42578125" style="5" bestFit="1" customWidth="1"/>
    <col min="9220" max="9220" width="13.42578125" style="5" customWidth="1"/>
    <col min="9221" max="9221" width="12.42578125" style="5" customWidth="1"/>
    <col min="9222" max="9222" width="12.5703125" style="5" customWidth="1"/>
    <col min="9223" max="9225" width="13" style="5" customWidth="1"/>
    <col min="9226" max="9226" width="14.7109375" style="5" customWidth="1"/>
    <col min="9227" max="9230" width="9.28515625" style="5" hidden="1" customWidth="1"/>
    <col min="9231" max="9234" width="11.28515625" style="5" customWidth="1"/>
    <col min="9235" max="9235" width="19.7109375" style="5" customWidth="1"/>
    <col min="9236" max="9474" width="9.140625" style="5"/>
    <col min="9475" max="9475" width="10.42578125" style="5" bestFit="1" customWidth="1"/>
    <col min="9476" max="9476" width="13.42578125" style="5" customWidth="1"/>
    <col min="9477" max="9477" width="12.42578125" style="5" customWidth="1"/>
    <col min="9478" max="9478" width="12.5703125" style="5" customWidth="1"/>
    <col min="9479" max="9481" width="13" style="5" customWidth="1"/>
    <col min="9482" max="9482" width="14.7109375" style="5" customWidth="1"/>
    <col min="9483" max="9486" width="9.28515625" style="5" hidden="1" customWidth="1"/>
    <col min="9487" max="9490" width="11.28515625" style="5" customWidth="1"/>
    <col min="9491" max="9491" width="19.7109375" style="5" customWidth="1"/>
    <col min="9492" max="9730" width="9.140625" style="5"/>
    <col min="9731" max="9731" width="10.42578125" style="5" bestFit="1" customWidth="1"/>
    <col min="9732" max="9732" width="13.42578125" style="5" customWidth="1"/>
    <col min="9733" max="9733" width="12.42578125" style="5" customWidth="1"/>
    <col min="9734" max="9734" width="12.5703125" style="5" customWidth="1"/>
    <col min="9735" max="9737" width="13" style="5" customWidth="1"/>
    <col min="9738" max="9738" width="14.7109375" style="5" customWidth="1"/>
    <col min="9739" max="9742" width="9.28515625" style="5" hidden="1" customWidth="1"/>
    <col min="9743" max="9746" width="11.28515625" style="5" customWidth="1"/>
    <col min="9747" max="9747" width="19.7109375" style="5" customWidth="1"/>
    <col min="9748" max="9986" width="9.140625" style="5"/>
    <col min="9987" max="9987" width="10.42578125" style="5" bestFit="1" customWidth="1"/>
    <col min="9988" max="9988" width="13.42578125" style="5" customWidth="1"/>
    <col min="9989" max="9989" width="12.42578125" style="5" customWidth="1"/>
    <col min="9990" max="9990" width="12.5703125" style="5" customWidth="1"/>
    <col min="9991" max="9993" width="13" style="5" customWidth="1"/>
    <col min="9994" max="9994" width="14.7109375" style="5" customWidth="1"/>
    <col min="9995" max="9998" width="9.28515625" style="5" hidden="1" customWidth="1"/>
    <col min="9999" max="10002" width="11.28515625" style="5" customWidth="1"/>
    <col min="10003" max="10003" width="19.7109375" style="5" customWidth="1"/>
    <col min="10004" max="10242" width="9.140625" style="5"/>
    <col min="10243" max="10243" width="10.42578125" style="5" bestFit="1" customWidth="1"/>
    <col min="10244" max="10244" width="13.42578125" style="5" customWidth="1"/>
    <col min="10245" max="10245" width="12.42578125" style="5" customWidth="1"/>
    <col min="10246" max="10246" width="12.5703125" style="5" customWidth="1"/>
    <col min="10247" max="10249" width="13" style="5" customWidth="1"/>
    <col min="10250" max="10250" width="14.7109375" style="5" customWidth="1"/>
    <col min="10251" max="10254" width="9.28515625" style="5" hidden="1" customWidth="1"/>
    <col min="10255" max="10258" width="11.28515625" style="5" customWidth="1"/>
    <col min="10259" max="10259" width="19.7109375" style="5" customWidth="1"/>
    <col min="10260" max="10498" width="9.140625" style="5"/>
    <col min="10499" max="10499" width="10.42578125" style="5" bestFit="1" customWidth="1"/>
    <col min="10500" max="10500" width="13.42578125" style="5" customWidth="1"/>
    <col min="10501" max="10501" width="12.42578125" style="5" customWidth="1"/>
    <col min="10502" max="10502" width="12.5703125" style="5" customWidth="1"/>
    <col min="10503" max="10505" width="13" style="5" customWidth="1"/>
    <col min="10506" max="10506" width="14.7109375" style="5" customWidth="1"/>
    <col min="10507" max="10510" width="9.28515625" style="5" hidden="1" customWidth="1"/>
    <col min="10511" max="10514" width="11.28515625" style="5" customWidth="1"/>
    <col min="10515" max="10515" width="19.7109375" style="5" customWidth="1"/>
    <col min="10516" max="10754" width="9.140625" style="5"/>
    <col min="10755" max="10755" width="10.42578125" style="5" bestFit="1" customWidth="1"/>
    <col min="10756" max="10756" width="13.42578125" style="5" customWidth="1"/>
    <col min="10757" max="10757" width="12.42578125" style="5" customWidth="1"/>
    <col min="10758" max="10758" width="12.5703125" style="5" customWidth="1"/>
    <col min="10759" max="10761" width="13" style="5" customWidth="1"/>
    <col min="10762" max="10762" width="14.7109375" style="5" customWidth="1"/>
    <col min="10763" max="10766" width="9.28515625" style="5" hidden="1" customWidth="1"/>
    <col min="10767" max="10770" width="11.28515625" style="5" customWidth="1"/>
    <col min="10771" max="10771" width="19.7109375" style="5" customWidth="1"/>
    <col min="10772" max="11010" width="9.140625" style="5"/>
    <col min="11011" max="11011" width="10.42578125" style="5" bestFit="1" customWidth="1"/>
    <col min="11012" max="11012" width="13.42578125" style="5" customWidth="1"/>
    <col min="11013" max="11013" width="12.42578125" style="5" customWidth="1"/>
    <col min="11014" max="11014" width="12.5703125" style="5" customWidth="1"/>
    <col min="11015" max="11017" width="13" style="5" customWidth="1"/>
    <col min="11018" max="11018" width="14.7109375" style="5" customWidth="1"/>
    <col min="11019" max="11022" width="9.28515625" style="5" hidden="1" customWidth="1"/>
    <col min="11023" max="11026" width="11.28515625" style="5" customWidth="1"/>
    <col min="11027" max="11027" width="19.7109375" style="5" customWidth="1"/>
    <col min="11028" max="11266" width="9.140625" style="5"/>
    <col min="11267" max="11267" width="10.42578125" style="5" bestFit="1" customWidth="1"/>
    <col min="11268" max="11268" width="13.42578125" style="5" customWidth="1"/>
    <col min="11269" max="11269" width="12.42578125" style="5" customWidth="1"/>
    <col min="11270" max="11270" width="12.5703125" style="5" customWidth="1"/>
    <col min="11271" max="11273" width="13" style="5" customWidth="1"/>
    <col min="11274" max="11274" width="14.7109375" style="5" customWidth="1"/>
    <col min="11275" max="11278" width="9.28515625" style="5" hidden="1" customWidth="1"/>
    <col min="11279" max="11282" width="11.28515625" style="5" customWidth="1"/>
    <col min="11283" max="11283" width="19.7109375" style="5" customWidth="1"/>
    <col min="11284" max="11522" width="9.140625" style="5"/>
    <col min="11523" max="11523" width="10.42578125" style="5" bestFit="1" customWidth="1"/>
    <col min="11524" max="11524" width="13.42578125" style="5" customWidth="1"/>
    <col min="11525" max="11525" width="12.42578125" style="5" customWidth="1"/>
    <col min="11526" max="11526" width="12.5703125" style="5" customWidth="1"/>
    <col min="11527" max="11529" width="13" style="5" customWidth="1"/>
    <col min="11530" max="11530" width="14.7109375" style="5" customWidth="1"/>
    <col min="11531" max="11534" width="9.28515625" style="5" hidden="1" customWidth="1"/>
    <col min="11535" max="11538" width="11.28515625" style="5" customWidth="1"/>
    <col min="11539" max="11539" width="19.7109375" style="5" customWidth="1"/>
    <col min="11540" max="11778" width="9.140625" style="5"/>
    <col min="11779" max="11779" width="10.42578125" style="5" bestFit="1" customWidth="1"/>
    <col min="11780" max="11780" width="13.42578125" style="5" customWidth="1"/>
    <col min="11781" max="11781" width="12.42578125" style="5" customWidth="1"/>
    <col min="11782" max="11782" width="12.5703125" style="5" customWidth="1"/>
    <col min="11783" max="11785" width="13" style="5" customWidth="1"/>
    <col min="11786" max="11786" width="14.7109375" style="5" customWidth="1"/>
    <col min="11787" max="11790" width="9.28515625" style="5" hidden="1" customWidth="1"/>
    <col min="11791" max="11794" width="11.28515625" style="5" customWidth="1"/>
    <col min="11795" max="11795" width="19.7109375" style="5" customWidth="1"/>
    <col min="11796" max="12034" width="9.140625" style="5"/>
    <col min="12035" max="12035" width="10.42578125" style="5" bestFit="1" customWidth="1"/>
    <col min="12036" max="12036" width="13.42578125" style="5" customWidth="1"/>
    <col min="12037" max="12037" width="12.42578125" style="5" customWidth="1"/>
    <col min="12038" max="12038" width="12.5703125" style="5" customWidth="1"/>
    <col min="12039" max="12041" width="13" style="5" customWidth="1"/>
    <col min="12042" max="12042" width="14.7109375" style="5" customWidth="1"/>
    <col min="12043" max="12046" width="9.28515625" style="5" hidden="1" customWidth="1"/>
    <col min="12047" max="12050" width="11.28515625" style="5" customWidth="1"/>
    <col min="12051" max="12051" width="19.7109375" style="5" customWidth="1"/>
    <col min="12052" max="12290" width="9.140625" style="5"/>
    <col min="12291" max="12291" width="10.42578125" style="5" bestFit="1" customWidth="1"/>
    <col min="12292" max="12292" width="13.42578125" style="5" customWidth="1"/>
    <col min="12293" max="12293" width="12.42578125" style="5" customWidth="1"/>
    <col min="12294" max="12294" width="12.5703125" style="5" customWidth="1"/>
    <col min="12295" max="12297" width="13" style="5" customWidth="1"/>
    <col min="12298" max="12298" width="14.7109375" style="5" customWidth="1"/>
    <col min="12299" max="12302" width="9.28515625" style="5" hidden="1" customWidth="1"/>
    <col min="12303" max="12306" width="11.28515625" style="5" customWidth="1"/>
    <col min="12307" max="12307" width="19.7109375" style="5" customWidth="1"/>
    <col min="12308" max="12546" width="9.140625" style="5"/>
    <col min="12547" max="12547" width="10.42578125" style="5" bestFit="1" customWidth="1"/>
    <col min="12548" max="12548" width="13.42578125" style="5" customWidth="1"/>
    <col min="12549" max="12549" width="12.42578125" style="5" customWidth="1"/>
    <col min="12550" max="12550" width="12.5703125" style="5" customWidth="1"/>
    <col min="12551" max="12553" width="13" style="5" customWidth="1"/>
    <col min="12554" max="12554" width="14.7109375" style="5" customWidth="1"/>
    <col min="12555" max="12558" width="9.28515625" style="5" hidden="1" customWidth="1"/>
    <col min="12559" max="12562" width="11.28515625" style="5" customWidth="1"/>
    <col min="12563" max="12563" width="19.7109375" style="5" customWidth="1"/>
    <col min="12564" max="12802" width="9.140625" style="5"/>
    <col min="12803" max="12803" width="10.42578125" style="5" bestFit="1" customWidth="1"/>
    <col min="12804" max="12804" width="13.42578125" style="5" customWidth="1"/>
    <col min="12805" max="12805" width="12.42578125" style="5" customWidth="1"/>
    <col min="12806" max="12806" width="12.5703125" style="5" customWidth="1"/>
    <col min="12807" max="12809" width="13" style="5" customWidth="1"/>
    <col min="12810" max="12810" width="14.7109375" style="5" customWidth="1"/>
    <col min="12811" max="12814" width="9.28515625" style="5" hidden="1" customWidth="1"/>
    <col min="12815" max="12818" width="11.28515625" style="5" customWidth="1"/>
    <col min="12819" max="12819" width="19.7109375" style="5" customWidth="1"/>
    <col min="12820" max="13058" width="9.140625" style="5"/>
    <col min="13059" max="13059" width="10.42578125" style="5" bestFit="1" customWidth="1"/>
    <col min="13060" max="13060" width="13.42578125" style="5" customWidth="1"/>
    <col min="13061" max="13061" width="12.42578125" style="5" customWidth="1"/>
    <col min="13062" max="13062" width="12.5703125" style="5" customWidth="1"/>
    <col min="13063" max="13065" width="13" style="5" customWidth="1"/>
    <col min="13066" max="13066" width="14.7109375" style="5" customWidth="1"/>
    <col min="13067" max="13070" width="9.28515625" style="5" hidden="1" customWidth="1"/>
    <col min="13071" max="13074" width="11.28515625" style="5" customWidth="1"/>
    <col min="13075" max="13075" width="19.7109375" style="5" customWidth="1"/>
    <col min="13076" max="13314" width="9.140625" style="5"/>
    <col min="13315" max="13315" width="10.42578125" style="5" bestFit="1" customWidth="1"/>
    <col min="13316" max="13316" width="13.42578125" style="5" customWidth="1"/>
    <col min="13317" max="13317" width="12.42578125" style="5" customWidth="1"/>
    <col min="13318" max="13318" width="12.5703125" style="5" customWidth="1"/>
    <col min="13319" max="13321" width="13" style="5" customWidth="1"/>
    <col min="13322" max="13322" width="14.7109375" style="5" customWidth="1"/>
    <col min="13323" max="13326" width="9.28515625" style="5" hidden="1" customWidth="1"/>
    <col min="13327" max="13330" width="11.28515625" style="5" customWidth="1"/>
    <col min="13331" max="13331" width="19.7109375" style="5" customWidth="1"/>
    <col min="13332" max="13570" width="9.140625" style="5"/>
    <col min="13571" max="13571" width="10.42578125" style="5" bestFit="1" customWidth="1"/>
    <col min="13572" max="13572" width="13.42578125" style="5" customWidth="1"/>
    <col min="13573" max="13573" width="12.42578125" style="5" customWidth="1"/>
    <col min="13574" max="13574" width="12.5703125" style="5" customWidth="1"/>
    <col min="13575" max="13577" width="13" style="5" customWidth="1"/>
    <col min="13578" max="13578" width="14.7109375" style="5" customWidth="1"/>
    <col min="13579" max="13582" width="9.28515625" style="5" hidden="1" customWidth="1"/>
    <col min="13583" max="13586" width="11.28515625" style="5" customWidth="1"/>
    <col min="13587" max="13587" width="19.7109375" style="5" customWidth="1"/>
    <col min="13588" max="13826" width="9.140625" style="5"/>
    <col min="13827" max="13827" width="10.42578125" style="5" bestFit="1" customWidth="1"/>
    <col min="13828" max="13828" width="13.42578125" style="5" customWidth="1"/>
    <col min="13829" max="13829" width="12.42578125" style="5" customWidth="1"/>
    <col min="13830" max="13830" width="12.5703125" style="5" customWidth="1"/>
    <col min="13831" max="13833" width="13" style="5" customWidth="1"/>
    <col min="13834" max="13834" width="14.7109375" style="5" customWidth="1"/>
    <col min="13835" max="13838" width="9.28515625" style="5" hidden="1" customWidth="1"/>
    <col min="13839" max="13842" width="11.28515625" style="5" customWidth="1"/>
    <col min="13843" max="13843" width="19.7109375" style="5" customWidth="1"/>
    <col min="13844" max="14082" width="9.140625" style="5"/>
    <col min="14083" max="14083" width="10.42578125" style="5" bestFit="1" customWidth="1"/>
    <col min="14084" max="14084" width="13.42578125" style="5" customWidth="1"/>
    <col min="14085" max="14085" width="12.42578125" style="5" customWidth="1"/>
    <col min="14086" max="14086" width="12.5703125" style="5" customWidth="1"/>
    <col min="14087" max="14089" width="13" style="5" customWidth="1"/>
    <col min="14090" max="14090" width="14.7109375" style="5" customWidth="1"/>
    <col min="14091" max="14094" width="9.28515625" style="5" hidden="1" customWidth="1"/>
    <col min="14095" max="14098" width="11.28515625" style="5" customWidth="1"/>
    <col min="14099" max="14099" width="19.7109375" style="5" customWidth="1"/>
    <col min="14100" max="14338" width="9.140625" style="5"/>
    <col min="14339" max="14339" width="10.42578125" style="5" bestFit="1" customWidth="1"/>
    <col min="14340" max="14340" width="13.42578125" style="5" customWidth="1"/>
    <col min="14341" max="14341" width="12.42578125" style="5" customWidth="1"/>
    <col min="14342" max="14342" width="12.5703125" style="5" customWidth="1"/>
    <col min="14343" max="14345" width="13" style="5" customWidth="1"/>
    <col min="14346" max="14346" width="14.7109375" style="5" customWidth="1"/>
    <col min="14347" max="14350" width="9.28515625" style="5" hidden="1" customWidth="1"/>
    <col min="14351" max="14354" width="11.28515625" style="5" customWidth="1"/>
    <col min="14355" max="14355" width="19.7109375" style="5" customWidth="1"/>
    <col min="14356" max="14594" width="9.140625" style="5"/>
    <col min="14595" max="14595" width="10.42578125" style="5" bestFit="1" customWidth="1"/>
    <col min="14596" max="14596" width="13.42578125" style="5" customWidth="1"/>
    <col min="14597" max="14597" width="12.42578125" style="5" customWidth="1"/>
    <col min="14598" max="14598" width="12.5703125" style="5" customWidth="1"/>
    <col min="14599" max="14601" width="13" style="5" customWidth="1"/>
    <col min="14602" max="14602" width="14.7109375" style="5" customWidth="1"/>
    <col min="14603" max="14606" width="9.28515625" style="5" hidden="1" customWidth="1"/>
    <col min="14607" max="14610" width="11.28515625" style="5" customWidth="1"/>
    <col min="14611" max="14611" width="19.7109375" style="5" customWidth="1"/>
    <col min="14612" max="14850" width="9.140625" style="5"/>
    <col min="14851" max="14851" width="10.42578125" style="5" bestFit="1" customWidth="1"/>
    <col min="14852" max="14852" width="13.42578125" style="5" customWidth="1"/>
    <col min="14853" max="14853" width="12.42578125" style="5" customWidth="1"/>
    <col min="14854" max="14854" width="12.5703125" style="5" customWidth="1"/>
    <col min="14855" max="14857" width="13" style="5" customWidth="1"/>
    <col min="14858" max="14858" width="14.7109375" style="5" customWidth="1"/>
    <col min="14859" max="14862" width="9.28515625" style="5" hidden="1" customWidth="1"/>
    <col min="14863" max="14866" width="11.28515625" style="5" customWidth="1"/>
    <col min="14867" max="14867" width="19.7109375" style="5" customWidth="1"/>
    <col min="14868" max="15106" width="9.140625" style="5"/>
    <col min="15107" max="15107" width="10.42578125" style="5" bestFit="1" customWidth="1"/>
    <col min="15108" max="15108" width="13.42578125" style="5" customWidth="1"/>
    <col min="15109" max="15109" width="12.42578125" style="5" customWidth="1"/>
    <col min="15110" max="15110" width="12.5703125" style="5" customWidth="1"/>
    <col min="15111" max="15113" width="13" style="5" customWidth="1"/>
    <col min="15114" max="15114" width="14.7109375" style="5" customWidth="1"/>
    <col min="15115" max="15118" width="9.28515625" style="5" hidden="1" customWidth="1"/>
    <col min="15119" max="15122" width="11.28515625" style="5" customWidth="1"/>
    <col min="15123" max="15123" width="19.7109375" style="5" customWidth="1"/>
    <col min="15124" max="15362" width="9.140625" style="5"/>
    <col min="15363" max="15363" width="10.42578125" style="5" bestFit="1" customWidth="1"/>
    <col min="15364" max="15364" width="13.42578125" style="5" customWidth="1"/>
    <col min="15365" max="15365" width="12.42578125" style="5" customWidth="1"/>
    <col min="15366" max="15366" width="12.5703125" style="5" customWidth="1"/>
    <col min="15367" max="15369" width="13" style="5" customWidth="1"/>
    <col min="15370" max="15370" width="14.7109375" style="5" customWidth="1"/>
    <col min="15371" max="15374" width="9.28515625" style="5" hidden="1" customWidth="1"/>
    <col min="15375" max="15378" width="11.28515625" style="5" customWidth="1"/>
    <col min="15379" max="15379" width="19.7109375" style="5" customWidth="1"/>
    <col min="15380" max="15618" width="9.140625" style="5"/>
    <col min="15619" max="15619" width="10.42578125" style="5" bestFit="1" customWidth="1"/>
    <col min="15620" max="15620" width="13.42578125" style="5" customWidth="1"/>
    <col min="15621" max="15621" width="12.42578125" style="5" customWidth="1"/>
    <col min="15622" max="15622" width="12.5703125" style="5" customWidth="1"/>
    <col min="15623" max="15625" width="13" style="5" customWidth="1"/>
    <col min="15626" max="15626" width="14.7109375" style="5" customWidth="1"/>
    <col min="15627" max="15630" width="9.28515625" style="5" hidden="1" customWidth="1"/>
    <col min="15631" max="15634" width="11.28515625" style="5" customWidth="1"/>
    <col min="15635" max="15635" width="19.7109375" style="5" customWidth="1"/>
    <col min="15636" max="15874" width="9.140625" style="5"/>
    <col min="15875" max="15875" width="10.42578125" style="5" bestFit="1" customWidth="1"/>
    <col min="15876" max="15876" width="13.42578125" style="5" customWidth="1"/>
    <col min="15877" max="15877" width="12.42578125" style="5" customWidth="1"/>
    <col min="15878" max="15878" width="12.5703125" style="5" customWidth="1"/>
    <col min="15879" max="15881" width="13" style="5" customWidth="1"/>
    <col min="15882" max="15882" width="14.7109375" style="5" customWidth="1"/>
    <col min="15883" max="15886" width="9.28515625" style="5" hidden="1" customWidth="1"/>
    <col min="15887" max="15890" width="11.28515625" style="5" customWidth="1"/>
    <col min="15891" max="15891" width="19.7109375" style="5" customWidth="1"/>
    <col min="15892" max="16130" width="9.140625" style="5"/>
    <col min="16131" max="16131" width="10.42578125" style="5" bestFit="1" customWidth="1"/>
    <col min="16132" max="16132" width="13.42578125" style="5" customWidth="1"/>
    <col min="16133" max="16133" width="12.42578125" style="5" customWidth="1"/>
    <col min="16134" max="16134" width="12.5703125" style="5" customWidth="1"/>
    <col min="16135" max="16137" width="13" style="5" customWidth="1"/>
    <col min="16138" max="16138" width="14.7109375" style="5" customWidth="1"/>
    <col min="16139" max="16142" width="9.28515625" style="5" hidden="1" customWidth="1"/>
    <col min="16143" max="16146" width="11.28515625" style="5" customWidth="1"/>
    <col min="16147" max="16147" width="19.7109375" style="5" customWidth="1"/>
    <col min="16148" max="16384" width="9.140625" style="5"/>
  </cols>
  <sheetData>
    <row r="1" spans="1:23" ht="13.5" thickBot="1">
      <c r="A1" s="1" t="s">
        <v>0</v>
      </c>
      <c r="B1" s="205" t="s">
        <v>95</v>
      </c>
      <c r="C1" s="205"/>
      <c r="D1" s="127"/>
      <c r="E1" s="1" t="s">
        <v>1</v>
      </c>
      <c r="F1" s="2">
        <v>12</v>
      </c>
      <c r="G1" s="2"/>
      <c r="H1" s="3" t="s">
        <v>2</v>
      </c>
      <c r="I1" s="4">
        <v>43206</v>
      </c>
      <c r="L1" s="208" t="s">
        <v>3</v>
      </c>
      <c r="M1" s="208"/>
    </row>
    <row r="2" spans="1:23">
      <c r="A2" s="1" t="s">
        <v>4</v>
      </c>
      <c r="B2" s="206">
        <v>449390880</v>
      </c>
      <c r="C2" s="206"/>
      <c r="D2" s="128"/>
      <c r="F2" s="6"/>
      <c r="G2" s="6"/>
      <c r="H2" s="3" t="s">
        <v>5</v>
      </c>
      <c r="I2" s="4">
        <v>23488</v>
      </c>
      <c r="K2" s="7">
        <v>2007</v>
      </c>
      <c r="L2" s="11">
        <v>2007</v>
      </c>
      <c r="M2" s="11">
        <v>2007</v>
      </c>
      <c r="O2" s="8">
        <v>58000</v>
      </c>
      <c r="P2" s="9"/>
      <c r="Q2" s="9"/>
      <c r="R2" s="8">
        <v>19500</v>
      </c>
      <c r="S2" s="10"/>
    </row>
    <row r="3" spans="1:23">
      <c r="A3" s="11" t="s">
        <v>6</v>
      </c>
      <c r="B3" s="11" t="s">
        <v>7</v>
      </c>
      <c r="C3" s="11" t="s">
        <v>8</v>
      </c>
      <c r="D3" s="11" t="s">
        <v>8</v>
      </c>
      <c r="E3" s="11" t="s">
        <v>9</v>
      </c>
      <c r="F3" s="11" t="s">
        <v>10</v>
      </c>
      <c r="G3" s="11" t="s">
        <v>53</v>
      </c>
      <c r="H3" s="3" t="s">
        <v>11</v>
      </c>
      <c r="I3" s="36">
        <f>I4*F1</f>
        <v>455400</v>
      </c>
      <c r="J3" s="49"/>
      <c r="K3" s="12" t="s">
        <v>12</v>
      </c>
      <c r="L3" s="13" t="s">
        <v>13</v>
      </c>
      <c r="M3" s="13" t="s">
        <v>13</v>
      </c>
      <c r="O3" s="14">
        <f>-SUM(C30+D30+E30)</f>
        <v>-58000</v>
      </c>
      <c r="R3" s="14">
        <v>0</v>
      </c>
      <c r="S3" s="15" t="s">
        <v>14</v>
      </c>
      <c r="U3" s="16"/>
    </row>
    <row r="4" spans="1:23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3" t="s">
        <v>17</v>
      </c>
      <c r="I4" s="75">
        <v>37950</v>
      </c>
      <c r="J4" s="49"/>
      <c r="K4" s="12" t="s">
        <v>16</v>
      </c>
      <c r="L4" s="13" t="s">
        <v>18</v>
      </c>
      <c r="M4" s="13" t="s">
        <v>19</v>
      </c>
      <c r="O4" s="19">
        <f>SUM(O2:O3)</f>
        <v>0</v>
      </c>
      <c r="P4" s="20" t="s">
        <v>44</v>
      </c>
      <c r="Q4" s="20"/>
      <c r="R4" s="14">
        <v>6500</v>
      </c>
      <c r="S4" s="15" t="s">
        <v>20</v>
      </c>
      <c r="U4" s="16"/>
    </row>
    <row r="5" spans="1:23">
      <c r="A5" s="21" t="s">
        <v>21</v>
      </c>
      <c r="B5" s="21" t="s">
        <v>22</v>
      </c>
      <c r="C5" s="21" t="s">
        <v>46</v>
      </c>
      <c r="D5" s="21" t="s">
        <v>117</v>
      </c>
      <c r="E5" s="21" t="s">
        <v>118</v>
      </c>
      <c r="F5" s="21">
        <v>26000</v>
      </c>
      <c r="G5" s="21">
        <v>26000</v>
      </c>
      <c r="H5" s="3" t="s">
        <v>26</v>
      </c>
      <c r="I5" s="36">
        <f>I4/2</f>
        <v>18975</v>
      </c>
      <c r="J5" s="49"/>
      <c r="K5" s="22" t="s">
        <v>27</v>
      </c>
      <c r="L5" s="21" t="s">
        <v>28</v>
      </c>
      <c r="M5" s="21" t="s">
        <v>28</v>
      </c>
      <c r="R5" s="14">
        <f>-D30</f>
        <v>-7250</v>
      </c>
      <c r="S5" s="15" t="s">
        <v>29</v>
      </c>
      <c r="U5" s="16"/>
    </row>
    <row r="6" spans="1:23" ht="13.5" thickBot="1">
      <c r="A6" s="23">
        <v>40553</v>
      </c>
      <c r="B6" s="24">
        <v>0</v>
      </c>
      <c r="C6" s="25">
        <v>0</v>
      </c>
      <c r="D6" s="25">
        <v>0</v>
      </c>
      <c r="E6" s="26">
        <f>C6+D6</f>
        <v>0</v>
      </c>
      <c r="F6" s="27">
        <v>0</v>
      </c>
      <c r="G6" s="27">
        <v>0</v>
      </c>
      <c r="I6" s="16"/>
      <c r="J6" s="28"/>
      <c r="K6" s="29" t="e">
        <f>IF(#REF!/5&gt;$F$6,F6,(#REF!/5))</f>
        <v>#REF!</v>
      </c>
      <c r="L6" s="30" t="e">
        <f>#REF!/5</f>
        <v>#REF!</v>
      </c>
      <c r="M6" s="30" t="e">
        <f>#REF!/5 +F6</f>
        <v>#REF!</v>
      </c>
      <c r="O6" s="76" t="s">
        <v>116</v>
      </c>
      <c r="P6" s="77"/>
      <c r="Q6" s="77"/>
      <c r="R6" s="19">
        <f>SUM(R2:R5)</f>
        <v>18750</v>
      </c>
      <c r="S6" s="32" t="s">
        <v>93</v>
      </c>
      <c r="U6" s="16"/>
    </row>
    <row r="7" spans="1:23" ht="13.5" thickBot="1">
      <c r="A7" s="23">
        <v>40568</v>
      </c>
      <c r="B7" s="24">
        <v>0</v>
      </c>
      <c r="C7" s="25">
        <v>0</v>
      </c>
      <c r="D7" s="25">
        <v>0</v>
      </c>
      <c r="E7" s="26">
        <f t="shared" ref="E7:E29" si="0">C7+D7</f>
        <v>0</v>
      </c>
      <c r="F7" s="27">
        <v>0</v>
      </c>
      <c r="G7" s="27">
        <v>0</v>
      </c>
      <c r="I7" s="16"/>
      <c r="J7" s="28"/>
      <c r="K7" s="29" t="e">
        <f>IF(#REF!/5&gt;$F$6,#REF!,(#REF!/5))</f>
        <v>#REF!</v>
      </c>
      <c r="L7" s="30" t="e">
        <f>#REF!/5</f>
        <v>#REF!</v>
      </c>
      <c r="M7" s="30" t="e">
        <f>#REF!/5 +#REF!</f>
        <v>#REF!</v>
      </c>
      <c r="O7" s="76" t="s">
        <v>107</v>
      </c>
      <c r="P7" s="77"/>
      <c r="Q7" s="77"/>
      <c r="R7" s="78" t="s">
        <v>45</v>
      </c>
      <c r="S7" s="79"/>
      <c r="U7" s="16"/>
    </row>
    <row r="8" spans="1:23">
      <c r="A8" s="23">
        <v>40584</v>
      </c>
      <c r="B8" s="24">
        <v>0</v>
      </c>
      <c r="C8" s="25">
        <v>0</v>
      </c>
      <c r="D8" s="25">
        <v>0</v>
      </c>
      <c r="E8" s="26">
        <f t="shared" si="0"/>
        <v>0</v>
      </c>
      <c r="F8" s="27">
        <v>0</v>
      </c>
      <c r="G8" s="27">
        <v>0</v>
      </c>
      <c r="I8" s="16"/>
      <c r="J8" s="28"/>
      <c r="K8" s="29" t="e">
        <f>IF(#REF!/5&gt;$F$6,F10,(#REF!/5))</f>
        <v>#REF!</v>
      </c>
      <c r="L8" s="30" t="e">
        <f>#REF!/5</f>
        <v>#REF!</v>
      </c>
      <c r="M8" s="30" t="e">
        <f>#REF!/5+F10</f>
        <v>#REF!</v>
      </c>
      <c r="O8" s="31"/>
      <c r="R8" s="33">
        <f>O4</f>
        <v>0</v>
      </c>
      <c r="S8" s="34" t="s">
        <v>101</v>
      </c>
      <c r="U8" s="16"/>
    </row>
    <row r="9" spans="1:23">
      <c r="A9" s="23">
        <v>40599</v>
      </c>
      <c r="B9" s="24">
        <v>0</v>
      </c>
      <c r="C9" s="25">
        <v>0</v>
      </c>
      <c r="D9" s="25">
        <v>0</v>
      </c>
      <c r="E9" s="26">
        <f t="shared" si="0"/>
        <v>0</v>
      </c>
      <c r="F9" s="27">
        <v>0</v>
      </c>
      <c r="G9" s="27">
        <v>0</v>
      </c>
      <c r="I9" s="16"/>
      <c r="J9" s="28"/>
      <c r="K9" s="29" t="e">
        <f>IF(#REF!/5&gt;$F$6,F11,(#REF!/5))</f>
        <v>#REF!</v>
      </c>
      <c r="L9" s="30" t="e">
        <f>#REF!/5</f>
        <v>#REF!</v>
      </c>
      <c r="M9" s="30" t="e">
        <f>#REF!/5+F10</f>
        <v>#REF!</v>
      </c>
      <c r="O9" s="35"/>
      <c r="P9" s="36"/>
      <c r="Q9" s="36"/>
      <c r="R9" s="14">
        <v>0</v>
      </c>
      <c r="S9" s="15" t="s">
        <v>14</v>
      </c>
      <c r="U9" s="16"/>
    </row>
    <row r="10" spans="1:23">
      <c r="A10" s="23">
        <v>40612</v>
      </c>
      <c r="B10" s="24">
        <v>0</v>
      </c>
      <c r="C10" s="25">
        <v>0</v>
      </c>
      <c r="D10" s="25">
        <v>0</v>
      </c>
      <c r="E10" s="26">
        <f t="shared" si="0"/>
        <v>0</v>
      </c>
      <c r="F10" s="27">
        <v>0</v>
      </c>
      <c r="G10" s="27">
        <v>0</v>
      </c>
      <c r="I10" s="80" t="s">
        <v>109</v>
      </c>
      <c r="J10" s="81"/>
      <c r="K10" s="82"/>
      <c r="L10" s="83"/>
      <c r="M10" s="83"/>
      <c r="N10" s="84"/>
      <c r="O10" s="85"/>
      <c r="P10" s="86"/>
      <c r="Q10" s="84"/>
      <c r="R10" s="14">
        <v>6500</v>
      </c>
      <c r="S10" s="15" t="s">
        <v>20</v>
      </c>
      <c r="U10" s="16"/>
    </row>
    <row r="11" spans="1:23" ht="13.5" thickBot="1">
      <c r="A11" s="23">
        <v>40627</v>
      </c>
      <c r="B11" s="24">
        <v>0</v>
      </c>
      <c r="C11" s="25">
        <v>0</v>
      </c>
      <c r="D11" s="25">
        <v>0</v>
      </c>
      <c r="E11" s="26">
        <f t="shared" si="0"/>
        <v>0</v>
      </c>
      <c r="F11" s="27">
        <v>0</v>
      </c>
      <c r="G11" s="27">
        <v>0</v>
      </c>
      <c r="I11" s="80" t="s">
        <v>97</v>
      </c>
      <c r="J11" s="81"/>
      <c r="K11" s="87"/>
      <c r="L11" s="88"/>
      <c r="M11" s="88"/>
      <c r="N11" s="84"/>
      <c r="O11" s="85"/>
      <c r="P11" s="86"/>
      <c r="Q11" s="84"/>
      <c r="R11" s="19">
        <f>SUM(R8:R10)</f>
        <v>6500</v>
      </c>
      <c r="S11" s="37"/>
      <c r="U11" s="41"/>
    </row>
    <row r="12" spans="1:23" ht="13.5" thickBot="1">
      <c r="A12" s="23">
        <v>40643</v>
      </c>
      <c r="B12" s="24">
        <v>0</v>
      </c>
      <c r="C12" s="25">
        <v>0</v>
      </c>
      <c r="D12" s="25">
        <v>0</v>
      </c>
      <c r="E12" s="26">
        <f t="shared" si="0"/>
        <v>0</v>
      </c>
      <c r="F12" s="27">
        <v>0</v>
      </c>
      <c r="G12" s="27">
        <v>0</v>
      </c>
      <c r="I12" s="80" t="s">
        <v>112</v>
      </c>
      <c r="J12" s="84"/>
      <c r="K12" s="87"/>
      <c r="L12" s="88"/>
      <c r="M12" s="90"/>
      <c r="N12" s="84"/>
      <c r="O12" s="85"/>
      <c r="P12" s="86"/>
      <c r="Q12" s="84"/>
      <c r="R12" s="38"/>
      <c r="S12" s="39"/>
      <c r="U12" s="31"/>
      <c r="V12" s="31"/>
      <c r="W12" s="89"/>
    </row>
    <row r="13" spans="1:23" ht="13.5" thickBot="1">
      <c r="A13" s="23">
        <v>40658</v>
      </c>
      <c r="B13" s="24">
        <v>0</v>
      </c>
      <c r="C13" s="25">
        <v>0</v>
      </c>
      <c r="D13" s="25">
        <v>0</v>
      </c>
      <c r="E13" s="26">
        <f t="shared" si="0"/>
        <v>0</v>
      </c>
      <c r="F13" s="27">
        <v>0</v>
      </c>
      <c r="G13" s="27">
        <v>0</v>
      </c>
      <c r="I13" s="80" t="s">
        <v>105</v>
      </c>
      <c r="J13" s="81"/>
      <c r="K13" s="91" t="e">
        <v>#REF!</v>
      </c>
      <c r="L13" s="92" t="e">
        <v>#REF!</v>
      </c>
      <c r="M13" s="92" t="e">
        <v>#REF!</v>
      </c>
      <c r="N13" s="84"/>
      <c r="O13" s="85"/>
      <c r="P13" s="86"/>
      <c r="Q13" s="84"/>
      <c r="R13" s="40" t="s">
        <v>30</v>
      </c>
      <c r="S13" s="10"/>
      <c r="U13" s="89"/>
      <c r="V13" s="89"/>
    </row>
    <row r="14" spans="1:23">
      <c r="A14" s="23">
        <v>40673</v>
      </c>
      <c r="B14" s="24">
        <v>0</v>
      </c>
      <c r="C14" s="25">
        <v>0</v>
      </c>
      <c r="D14" s="25">
        <v>0</v>
      </c>
      <c r="E14" s="26">
        <f t="shared" si="0"/>
        <v>0</v>
      </c>
      <c r="F14" s="27">
        <v>0</v>
      </c>
      <c r="G14" s="27">
        <v>0</v>
      </c>
      <c r="K14" s="209" t="e">
        <f>IF(#REF!&gt;=0,"Total&lt;45K eligible for SRA","&gt;45K Not eligible for SRA")</f>
        <v>#REF!</v>
      </c>
      <c r="L14" s="210"/>
      <c r="M14" s="211"/>
      <c r="O14" s="31"/>
      <c r="P14" s="41"/>
      <c r="R14" s="14">
        <f>IF(R11&lt;R6,R11,R6)</f>
        <v>6500</v>
      </c>
      <c r="S14" s="42" t="s">
        <v>31</v>
      </c>
      <c r="U14" s="31"/>
      <c r="V14" s="31"/>
    </row>
    <row r="15" spans="1:23">
      <c r="A15" s="23">
        <v>40688</v>
      </c>
      <c r="B15" s="24">
        <v>0</v>
      </c>
      <c r="C15" s="25">
        <v>0</v>
      </c>
      <c r="D15" s="25">
        <v>0</v>
      </c>
      <c r="E15" s="26">
        <f t="shared" si="0"/>
        <v>0</v>
      </c>
      <c r="F15" s="27">
        <v>0</v>
      </c>
      <c r="G15" s="27">
        <v>0</v>
      </c>
      <c r="K15" s="212" t="e">
        <f>IF(#REF!&gt;=0,IF(#REF!&gt;=0,"SRA OK","SRA need to be adjusted"), "&gt;45K Not eligible for SRA")</f>
        <v>#REF!</v>
      </c>
      <c r="L15" s="213"/>
      <c r="M15" s="214"/>
      <c r="O15" s="44"/>
      <c r="P15" s="41"/>
      <c r="R15" s="14">
        <f t="shared" ref="R15:R38" si="1">R14-F6</f>
        <v>6500</v>
      </c>
      <c r="S15" s="23">
        <v>40553</v>
      </c>
      <c r="U15" s="31"/>
    </row>
    <row r="16" spans="1:23">
      <c r="A16" s="23">
        <v>40704</v>
      </c>
      <c r="B16" s="24">
        <v>0</v>
      </c>
      <c r="C16" s="25">
        <v>0</v>
      </c>
      <c r="D16" s="25">
        <v>0</v>
      </c>
      <c r="E16" s="26">
        <f t="shared" si="0"/>
        <v>0</v>
      </c>
      <c r="F16" s="27">
        <v>0</v>
      </c>
      <c r="G16" s="27">
        <v>0</v>
      </c>
      <c r="H16" s="3"/>
      <c r="K16" s="45"/>
      <c r="L16" s="45"/>
      <c r="M16" s="45"/>
      <c r="N16" s="45"/>
      <c r="O16" s="45"/>
      <c r="P16" s="46"/>
      <c r="Q16" s="46"/>
      <c r="R16" s="14">
        <f t="shared" si="1"/>
        <v>6500</v>
      </c>
      <c r="S16" s="23">
        <v>40568</v>
      </c>
      <c r="U16" s="31"/>
    </row>
    <row r="17" spans="1:25">
      <c r="A17" s="23">
        <v>40719</v>
      </c>
      <c r="B17" s="24">
        <v>0</v>
      </c>
      <c r="C17" s="25">
        <v>0</v>
      </c>
      <c r="D17" s="25">
        <v>0</v>
      </c>
      <c r="E17" s="26">
        <f t="shared" si="0"/>
        <v>0</v>
      </c>
      <c r="F17" s="27">
        <v>0</v>
      </c>
      <c r="G17" s="27">
        <v>0</v>
      </c>
      <c r="K17" s="47"/>
      <c r="L17" s="45"/>
      <c r="M17" s="45"/>
      <c r="N17" s="45"/>
      <c r="O17" s="48"/>
      <c r="P17" s="45"/>
      <c r="Q17" s="46"/>
      <c r="R17" s="14">
        <f t="shared" si="1"/>
        <v>6500</v>
      </c>
      <c r="S17" s="23">
        <v>40584</v>
      </c>
      <c r="U17" s="31"/>
    </row>
    <row r="18" spans="1:25">
      <c r="A18" s="23">
        <v>40369</v>
      </c>
      <c r="B18" s="24">
        <v>0</v>
      </c>
      <c r="C18" s="25">
        <v>0</v>
      </c>
      <c r="D18" s="25">
        <v>0</v>
      </c>
      <c r="E18" s="26">
        <f t="shared" si="0"/>
        <v>0</v>
      </c>
      <c r="F18" s="27">
        <v>0</v>
      </c>
      <c r="G18" s="27">
        <v>0</v>
      </c>
      <c r="K18" s="45"/>
      <c r="L18" s="45"/>
      <c r="M18" s="45"/>
      <c r="N18" s="45"/>
      <c r="R18" s="14">
        <f t="shared" si="1"/>
        <v>6500</v>
      </c>
      <c r="S18" s="23">
        <v>40599</v>
      </c>
      <c r="U18" s="31"/>
      <c r="X18" s="31"/>
      <c r="Y18" s="31"/>
    </row>
    <row r="19" spans="1:25">
      <c r="A19" s="23">
        <v>40384</v>
      </c>
      <c r="B19" s="24">
        <v>0</v>
      </c>
      <c r="C19" s="25">
        <v>0</v>
      </c>
      <c r="D19" s="25">
        <v>0</v>
      </c>
      <c r="E19" s="26">
        <f t="shared" si="0"/>
        <v>0</v>
      </c>
      <c r="F19" s="27">
        <v>0</v>
      </c>
      <c r="G19" s="27">
        <v>0</v>
      </c>
      <c r="K19" s="49"/>
      <c r="R19" s="14">
        <f t="shared" si="1"/>
        <v>6500</v>
      </c>
      <c r="S19" s="23">
        <v>40612</v>
      </c>
    </row>
    <row r="20" spans="1:25">
      <c r="A20" s="23">
        <v>40400</v>
      </c>
      <c r="B20" s="24">
        <v>0</v>
      </c>
      <c r="C20" s="25">
        <v>0</v>
      </c>
      <c r="D20" s="25">
        <v>0</v>
      </c>
      <c r="E20" s="26">
        <f t="shared" si="0"/>
        <v>0</v>
      </c>
      <c r="F20" s="27">
        <v>0</v>
      </c>
      <c r="G20" s="27">
        <v>0</v>
      </c>
      <c r="H20" s="50"/>
      <c r="I20" s="45"/>
      <c r="J20" s="45"/>
      <c r="R20" s="14">
        <f t="shared" si="1"/>
        <v>6500</v>
      </c>
      <c r="S20" s="23">
        <v>40627</v>
      </c>
    </row>
    <row r="21" spans="1:25">
      <c r="A21" s="23">
        <v>40415</v>
      </c>
      <c r="B21" s="24">
        <v>0</v>
      </c>
      <c r="C21" s="25">
        <v>0</v>
      </c>
      <c r="D21" s="25">
        <v>0</v>
      </c>
      <c r="E21" s="26">
        <f t="shared" si="0"/>
        <v>0</v>
      </c>
      <c r="F21" s="27">
        <v>0</v>
      </c>
      <c r="G21" s="27">
        <v>0</v>
      </c>
      <c r="H21" s="50"/>
      <c r="I21" s="51"/>
      <c r="J21" s="45"/>
      <c r="K21" s="52"/>
      <c r="R21" s="14">
        <f t="shared" si="1"/>
        <v>6500</v>
      </c>
      <c r="S21" s="23">
        <v>40643</v>
      </c>
      <c r="X21" s="31"/>
    </row>
    <row r="22" spans="1:25">
      <c r="A22" s="23">
        <v>40066</v>
      </c>
      <c r="B22" s="24">
        <v>0</v>
      </c>
      <c r="C22" s="25">
        <v>0</v>
      </c>
      <c r="D22" s="25">
        <v>0</v>
      </c>
      <c r="E22" s="26">
        <f t="shared" si="0"/>
        <v>0</v>
      </c>
      <c r="F22" s="27">
        <v>0</v>
      </c>
      <c r="G22" s="27">
        <v>0</v>
      </c>
      <c r="H22" s="53"/>
      <c r="I22" s="53"/>
      <c r="J22" s="53"/>
      <c r="K22" s="52"/>
      <c r="R22" s="14">
        <f t="shared" si="1"/>
        <v>6500</v>
      </c>
      <c r="S22" s="23">
        <v>40658</v>
      </c>
      <c r="X22" s="31"/>
    </row>
    <row r="23" spans="1:25">
      <c r="A23" s="23">
        <v>40081</v>
      </c>
      <c r="B23" s="24">
        <v>0</v>
      </c>
      <c r="C23" s="25">
        <v>0</v>
      </c>
      <c r="D23" s="25">
        <v>0</v>
      </c>
      <c r="E23" s="26">
        <f t="shared" si="0"/>
        <v>0</v>
      </c>
      <c r="F23" s="27">
        <v>0</v>
      </c>
      <c r="G23" s="27">
        <v>0</v>
      </c>
      <c r="H23" s="53"/>
      <c r="I23" s="53"/>
      <c r="J23" s="53"/>
      <c r="R23" s="14">
        <f t="shared" si="1"/>
        <v>6500</v>
      </c>
      <c r="S23" s="23">
        <v>40673</v>
      </c>
      <c r="U23" s="31"/>
      <c r="X23" s="31"/>
    </row>
    <row r="24" spans="1:25">
      <c r="A24" s="23">
        <v>40096</v>
      </c>
      <c r="B24" s="24">
        <v>311775.06</v>
      </c>
      <c r="C24" s="25">
        <v>20343.75</v>
      </c>
      <c r="D24" s="25">
        <v>6781.25</v>
      </c>
      <c r="E24" s="26">
        <f>6781.25+20343.75</f>
        <v>27125</v>
      </c>
      <c r="F24" s="27">
        <v>0</v>
      </c>
      <c r="G24" s="27">
        <v>8896.5</v>
      </c>
      <c r="H24" s="53"/>
      <c r="I24" s="53"/>
      <c r="J24" s="53"/>
      <c r="K24" s="207"/>
      <c r="L24" s="207"/>
      <c r="M24" s="207"/>
      <c r="R24" s="14">
        <f t="shared" si="1"/>
        <v>6500</v>
      </c>
      <c r="S24" s="23">
        <v>40688</v>
      </c>
      <c r="U24" s="31"/>
      <c r="X24" s="31"/>
    </row>
    <row r="25" spans="1:25">
      <c r="A25" s="23">
        <v>40111</v>
      </c>
      <c r="B25" s="24">
        <v>18975.009999999998</v>
      </c>
      <c r="C25" s="95">
        <f>(3750/2)*0.75</f>
        <v>1406.25</v>
      </c>
      <c r="D25" s="95">
        <f>(3750/2)*0.25</f>
        <v>468.75</v>
      </c>
      <c r="E25" s="96">
        <f t="shared" si="0"/>
        <v>1875</v>
      </c>
      <c r="F25" s="27">
        <v>0</v>
      </c>
      <c r="G25" s="27">
        <v>569.25</v>
      </c>
      <c r="H25" s="54"/>
      <c r="I25" s="55"/>
      <c r="J25" s="54"/>
      <c r="K25" s="207"/>
      <c r="L25" s="207"/>
      <c r="M25" s="207"/>
      <c r="R25" s="14">
        <f t="shared" si="1"/>
        <v>6500</v>
      </c>
      <c r="S25" s="23">
        <v>40704</v>
      </c>
      <c r="U25" s="31"/>
    </row>
    <row r="26" spans="1:25">
      <c r="A26" s="23">
        <v>40127</v>
      </c>
      <c r="B26" s="24">
        <v>18975.009999999998</v>
      </c>
      <c r="C26" s="95">
        <v>0</v>
      </c>
      <c r="D26" s="95">
        <v>0</v>
      </c>
      <c r="E26" s="96">
        <f t="shared" si="0"/>
        <v>0</v>
      </c>
      <c r="F26" s="27">
        <v>0</v>
      </c>
      <c r="G26" s="27">
        <v>569.25</v>
      </c>
      <c r="H26" s="50"/>
      <c r="I26" s="45"/>
      <c r="J26" s="45"/>
      <c r="R26" s="14">
        <f t="shared" si="1"/>
        <v>6500</v>
      </c>
      <c r="S26" s="23">
        <v>40719</v>
      </c>
      <c r="U26" s="31"/>
    </row>
    <row r="27" spans="1:25" ht="15" customHeight="1">
      <c r="A27" s="23">
        <v>40142</v>
      </c>
      <c r="B27" s="24">
        <v>18975.009999999998</v>
      </c>
      <c r="C27" s="95">
        <v>0</v>
      </c>
      <c r="D27" s="95">
        <v>0</v>
      </c>
      <c r="E27" s="96">
        <f t="shared" si="0"/>
        <v>0</v>
      </c>
      <c r="F27" s="27">
        <v>0</v>
      </c>
      <c r="G27" s="27">
        <v>569.25</v>
      </c>
      <c r="H27" s="56"/>
      <c r="I27" s="56"/>
      <c r="J27" s="56"/>
      <c r="R27" s="14">
        <f t="shared" si="1"/>
        <v>6500</v>
      </c>
      <c r="S27" s="23">
        <v>40369</v>
      </c>
      <c r="U27" s="31"/>
    </row>
    <row r="28" spans="1:25">
      <c r="A28" s="23">
        <v>40157</v>
      </c>
      <c r="B28" s="24">
        <v>18975.009999999998</v>
      </c>
      <c r="C28" s="95">
        <v>0</v>
      </c>
      <c r="D28" s="95">
        <v>0</v>
      </c>
      <c r="E28" s="96">
        <f t="shared" si="0"/>
        <v>0</v>
      </c>
      <c r="F28" s="27">
        <v>0</v>
      </c>
      <c r="G28" s="27">
        <v>569.25</v>
      </c>
      <c r="H28" s="56"/>
      <c r="I28" s="56"/>
      <c r="J28" s="56"/>
      <c r="K28" s="45"/>
      <c r="L28" s="45"/>
      <c r="M28" s="45"/>
      <c r="N28" s="45"/>
      <c r="O28" s="48"/>
      <c r="P28" s="45"/>
      <c r="Q28" s="46"/>
      <c r="R28" s="14">
        <f t="shared" si="1"/>
        <v>6500</v>
      </c>
      <c r="S28" s="23">
        <v>40384</v>
      </c>
      <c r="U28" s="89"/>
    </row>
    <row r="29" spans="1:25" ht="13.5" thickBot="1">
      <c r="A29" s="23">
        <v>39441</v>
      </c>
      <c r="B29" s="24">
        <v>18975.009999999998</v>
      </c>
      <c r="C29" s="95">
        <v>0</v>
      </c>
      <c r="D29" s="109">
        <v>0</v>
      </c>
      <c r="E29" s="109">
        <f t="shared" si="0"/>
        <v>0</v>
      </c>
      <c r="F29" s="27">
        <v>0</v>
      </c>
      <c r="G29" s="27">
        <v>569.25</v>
      </c>
      <c r="H29" s="56"/>
      <c r="I29" s="56"/>
      <c r="J29" s="56"/>
      <c r="K29" s="57"/>
      <c r="L29" s="57"/>
      <c r="M29" s="57"/>
      <c r="N29" s="57"/>
      <c r="R29" s="14">
        <f t="shared" si="1"/>
        <v>6500</v>
      </c>
      <c r="S29" s="23">
        <v>40400</v>
      </c>
      <c r="U29" s="89" t="s">
        <v>32</v>
      </c>
    </row>
    <row r="30" spans="1:25">
      <c r="A30" s="58" t="s">
        <v>33</v>
      </c>
      <c r="B30" s="59">
        <f>SUM(B6:B29)</f>
        <v>406650.11000000004</v>
      </c>
      <c r="C30" s="59">
        <f>SUM(C6:C29)</f>
        <v>21750</v>
      </c>
      <c r="D30" s="94">
        <f>SUM(D6:D29)</f>
        <v>7250</v>
      </c>
      <c r="E30" s="94">
        <f>C30+D30</f>
        <v>29000</v>
      </c>
      <c r="F30" s="59">
        <f>SUM(F6:F29)</f>
        <v>0</v>
      </c>
      <c r="G30" s="59">
        <f>SUM(G6:G29)</f>
        <v>11742.75</v>
      </c>
      <c r="H30" s="44"/>
      <c r="I30" s="132"/>
      <c r="J30" s="44"/>
      <c r="K30" s="57"/>
      <c r="L30" s="57"/>
      <c r="M30" s="57"/>
      <c r="N30" s="57"/>
      <c r="R30" s="14">
        <f t="shared" si="1"/>
        <v>6500</v>
      </c>
      <c r="S30" s="23">
        <v>40415</v>
      </c>
      <c r="U30" s="89" t="s">
        <v>32</v>
      </c>
    </row>
    <row r="31" spans="1:25" ht="13.5" thickBot="1">
      <c r="A31" s="63"/>
      <c r="B31" s="64"/>
      <c r="C31" s="64"/>
      <c r="D31" s="64"/>
      <c r="E31" s="64">
        <f>SUM(E6:E29)</f>
        <v>29000</v>
      </c>
      <c r="F31" s="65"/>
      <c r="G31" s="65"/>
      <c r="H31" s="44"/>
      <c r="I31" s="132"/>
      <c r="J31" s="44"/>
      <c r="K31" s="57"/>
      <c r="L31" s="57"/>
      <c r="M31" s="57"/>
      <c r="N31" s="57"/>
      <c r="R31" s="14">
        <f t="shared" si="1"/>
        <v>6500</v>
      </c>
      <c r="S31" s="23">
        <v>40066</v>
      </c>
      <c r="U31" s="89" t="s">
        <v>32</v>
      </c>
    </row>
    <row r="32" spans="1:25">
      <c r="F32" s="45"/>
      <c r="G32" s="45"/>
      <c r="H32" s="57"/>
      <c r="I32" s="57"/>
      <c r="J32" s="57"/>
      <c r="K32" s="57"/>
      <c r="L32" s="57"/>
      <c r="M32" s="57"/>
      <c r="N32" s="57"/>
      <c r="R32" s="14">
        <f t="shared" si="1"/>
        <v>6500</v>
      </c>
      <c r="S32" s="23">
        <v>40081</v>
      </c>
      <c r="U32" s="89" t="s">
        <v>32</v>
      </c>
    </row>
    <row r="33" spans="2:19" ht="15">
      <c r="B33" s="137">
        <f>B30*0.075</f>
        <v>30498.758250000003</v>
      </c>
      <c r="C33" s="54"/>
      <c r="D33" s="137">
        <f>B30*0.025</f>
        <v>10166.252750000001</v>
      </c>
      <c r="E33" s="138"/>
      <c r="G33" s="36"/>
      <c r="H33" s="57"/>
      <c r="I33" s="57"/>
      <c r="J33" s="57"/>
      <c r="K33" s="57"/>
      <c r="L33" s="57"/>
      <c r="M33" s="57"/>
      <c r="N33" s="57"/>
      <c r="R33" s="14">
        <f t="shared" si="1"/>
        <v>6500</v>
      </c>
      <c r="S33" s="23">
        <v>40096</v>
      </c>
    </row>
    <row r="34" spans="2:19">
      <c r="B34" s="137">
        <f>B33-C30</f>
        <v>8748.7582500000026</v>
      </c>
      <c r="C34" s="54" t="s">
        <v>119</v>
      </c>
      <c r="D34" s="137">
        <f>D33-D30</f>
        <v>2916.2527500000015</v>
      </c>
      <c r="E34" s="137" t="s">
        <v>120</v>
      </c>
      <c r="F34" s="69"/>
      <c r="G34" s="69"/>
      <c r="H34" s="57"/>
      <c r="I34" s="57"/>
      <c r="J34" s="57"/>
      <c r="K34" s="57"/>
      <c r="L34" s="57"/>
      <c r="M34" s="57"/>
      <c r="N34" s="57"/>
      <c r="R34" s="14">
        <f t="shared" si="1"/>
        <v>6500</v>
      </c>
      <c r="S34" s="23">
        <v>40111</v>
      </c>
    </row>
    <row r="35" spans="2:19">
      <c r="C35" s="31"/>
      <c r="D35" s="31"/>
      <c r="F35" s="36"/>
      <c r="H35" s="57"/>
      <c r="I35" s="57"/>
      <c r="J35" s="57"/>
      <c r="K35" s="57"/>
      <c r="L35" s="57"/>
      <c r="M35" s="57"/>
      <c r="N35" s="57"/>
      <c r="R35" s="14">
        <f t="shared" si="1"/>
        <v>6500</v>
      </c>
      <c r="S35" s="23">
        <v>40127</v>
      </c>
    </row>
    <row r="36" spans="2:19">
      <c r="C36" s="31"/>
      <c r="D36" s="31"/>
      <c r="F36" s="36"/>
      <c r="H36" s="70"/>
      <c r="I36" s="57"/>
      <c r="J36" s="57"/>
      <c r="K36" s="57"/>
      <c r="L36" s="57"/>
      <c r="M36" s="57"/>
      <c r="N36" s="57"/>
      <c r="R36" s="14">
        <f t="shared" si="1"/>
        <v>6500</v>
      </c>
      <c r="S36" s="23">
        <v>40142</v>
      </c>
    </row>
    <row r="37" spans="2:19">
      <c r="C37" s="31"/>
      <c r="D37" s="31"/>
      <c r="H37" s="57"/>
      <c r="I37" s="57"/>
      <c r="J37" s="57"/>
      <c r="K37" s="57"/>
      <c r="L37" s="57"/>
      <c r="M37" s="57"/>
      <c r="N37" s="57"/>
      <c r="R37" s="14">
        <f t="shared" si="1"/>
        <v>6500</v>
      </c>
      <c r="S37" s="23">
        <v>40157</v>
      </c>
    </row>
    <row r="38" spans="2:19" ht="13.5" thickBot="1">
      <c r="C38" s="31"/>
      <c r="D38" s="31"/>
      <c r="H38" s="57"/>
      <c r="I38" s="57"/>
      <c r="J38" s="57"/>
      <c r="K38" s="57"/>
      <c r="L38" s="57"/>
      <c r="M38" s="57"/>
      <c r="N38" s="57"/>
      <c r="O38" s="5" t="s">
        <v>42</v>
      </c>
      <c r="R38" s="19">
        <f t="shared" si="1"/>
        <v>6500</v>
      </c>
      <c r="S38" s="71">
        <v>39441</v>
      </c>
    </row>
    <row r="39" spans="2:19">
      <c r="H39" s="57"/>
      <c r="I39" s="57"/>
      <c r="J39" s="57"/>
      <c r="K39" s="57"/>
      <c r="L39" s="57"/>
      <c r="M39" s="57"/>
      <c r="N39" s="57"/>
    </row>
    <row r="40" spans="2:19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2:19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2:19">
      <c r="B42" s="72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2:19">
      <c r="B43" s="7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2:19">
      <c r="B44" s="72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2:19">
      <c r="B45" s="72"/>
      <c r="C45" s="57"/>
      <c r="D45" s="57"/>
      <c r="E45" s="57"/>
      <c r="F45" s="57"/>
      <c r="G45" s="57"/>
      <c r="H45" s="57"/>
      <c r="I45" s="57"/>
      <c r="J45" s="57"/>
    </row>
    <row r="46" spans="2:19">
      <c r="B46" s="57"/>
      <c r="C46" s="70"/>
      <c r="D46" s="70"/>
      <c r="E46" s="70"/>
      <c r="F46" s="57"/>
      <c r="G46" s="57"/>
    </row>
    <row r="48" spans="2:19">
      <c r="C48" s="31"/>
      <c r="D48" s="31"/>
    </row>
  </sheetData>
  <mergeCells count="7">
    <mergeCell ref="K25:M25"/>
    <mergeCell ref="B1:C1"/>
    <mergeCell ref="L1:M1"/>
    <mergeCell ref="B2:C2"/>
    <mergeCell ref="K14:M14"/>
    <mergeCell ref="K15:M15"/>
    <mergeCell ref="K24:M24"/>
  </mergeCells>
  <pageMargins left="0.45" right="0.4" top="1" bottom="0.72" header="0.5" footer="0.5"/>
  <pageSetup paperSize="14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17">
    <tabColor rgb="FF7030A0"/>
  </sheetPr>
  <dimension ref="A1:WVS48"/>
  <sheetViews>
    <sheetView zoomScale="85" zoomScaleNormal="85" workbookViewId="0">
      <selection activeCell="L43" sqref="L43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127" t="s">
        <v>135</v>
      </c>
      <c r="C1" s="127"/>
      <c r="D1" s="1" t="s">
        <v>1</v>
      </c>
      <c r="E1" s="2">
        <v>9</v>
      </c>
      <c r="F1" s="16"/>
      <c r="G1" s="16"/>
      <c r="H1" s="2"/>
      <c r="I1" s="3" t="s">
        <v>2</v>
      </c>
      <c r="J1" s="73">
        <v>44424</v>
      </c>
    </row>
    <row r="2" spans="1:20">
      <c r="A2" s="1" t="s">
        <v>4</v>
      </c>
      <c r="B2" s="170">
        <v>10613445</v>
      </c>
      <c r="C2" s="128"/>
      <c r="D2" s="1"/>
      <c r="E2" s="6"/>
      <c r="H2" s="6"/>
      <c r="I2" s="3" t="s">
        <v>5</v>
      </c>
      <c r="J2" s="73">
        <v>24249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6">
        <v>41868.720000000001</v>
      </c>
      <c r="K3" s="49"/>
      <c r="L3" s="14">
        <f>-SUM(C30+D30+E30+F30)</f>
        <v>-2442.3384999999998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J3/E1</f>
        <v>4652.08</v>
      </c>
      <c r="K4" s="49"/>
      <c r="L4" s="19">
        <f>SUM(L2:L3)</f>
        <v>55557.661500000002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19500</v>
      </c>
      <c r="H5" s="21">
        <v>19500</v>
      </c>
      <c r="I5" s="3" t="s">
        <v>26</v>
      </c>
      <c r="J5" s="35">
        <f>J4/2</f>
        <v>2326.04</v>
      </c>
      <c r="K5" s="49"/>
      <c r="O5" s="14">
        <f>-D30</f>
        <v>0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26000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2" si="1">B7*0.025</f>
        <v>0</v>
      </c>
      <c r="E7" s="26">
        <f t="shared" ref="E7:E29" si="2">B7*0.075</f>
        <v>0</v>
      </c>
      <c r="F7" s="25">
        <f t="shared" ref="F7:F22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55557.661500000002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62057.661500000002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26000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26000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26000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26000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26000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26000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26000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26000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26000</v>
      </c>
      <c r="P22" s="23">
        <v>40658</v>
      </c>
      <c r="U22" s="31"/>
    </row>
    <row r="23" spans="1:22">
      <c r="A23" s="23">
        <v>40081</v>
      </c>
      <c r="B23" s="98">
        <v>1163.03</v>
      </c>
      <c r="C23" s="25">
        <f t="shared" si="0"/>
        <v>87.227249999999998</v>
      </c>
      <c r="D23" s="25">
        <v>0</v>
      </c>
      <c r="E23" s="26">
        <f t="shared" si="2"/>
        <v>87.227249999999998</v>
      </c>
      <c r="F23" s="25"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26000</v>
      </c>
      <c r="P23" s="23">
        <v>40673</v>
      </c>
      <c r="R23" s="31"/>
      <c r="U23" s="31"/>
    </row>
    <row r="24" spans="1:22">
      <c r="A24" s="23">
        <v>40096</v>
      </c>
      <c r="B24" s="98">
        <f>3489.06+2326.04</f>
        <v>5815.1</v>
      </c>
      <c r="C24" s="25">
        <f>174.45+87.23</f>
        <v>261.68</v>
      </c>
      <c r="D24" s="25">
        <v>0</v>
      </c>
      <c r="E24" s="25">
        <f>174.45+87.23</f>
        <v>261.68</v>
      </c>
      <c r="F24" s="25">
        <v>0</v>
      </c>
      <c r="G24" s="27">
        <v>0</v>
      </c>
      <c r="H24" s="27">
        <v>0</v>
      </c>
      <c r="I24" s="53"/>
      <c r="J24" s="53"/>
      <c r="K24" s="53"/>
      <c r="O24" s="14">
        <f t="shared" si="4"/>
        <v>26000</v>
      </c>
      <c r="P24" s="23">
        <v>40688</v>
      </c>
      <c r="R24" s="31"/>
      <c r="U24" s="31"/>
    </row>
    <row r="25" spans="1:22">
      <c r="A25" s="23">
        <v>40111</v>
      </c>
      <c r="B25" s="98">
        <v>2326.04</v>
      </c>
      <c r="C25" s="25">
        <f>(B25*0.075)</f>
        <v>174.453</v>
      </c>
      <c r="D25" s="25">
        <v>0</v>
      </c>
      <c r="E25" s="26">
        <f>(B25*0.075)</f>
        <v>174.453</v>
      </c>
      <c r="F25" s="25">
        <v>0</v>
      </c>
      <c r="G25" s="27">
        <v>0</v>
      </c>
      <c r="H25" s="27">
        <v>0</v>
      </c>
      <c r="I25" s="54"/>
      <c r="J25" s="55"/>
      <c r="K25" s="54"/>
      <c r="O25" s="14">
        <f t="shared" si="4"/>
        <v>26000</v>
      </c>
      <c r="P25" s="23">
        <v>40704</v>
      </c>
      <c r="R25" s="31"/>
    </row>
    <row r="26" spans="1:22" ht="15">
      <c r="A26" s="23">
        <v>40127</v>
      </c>
      <c r="B26" s="171">
        <v>2326.04</v>
      </c>
      <c r="C26" s="167">
        <v>174.45</v>
      </c>
      <c r="D26" s="25">
        <v>0</v>
      </c>
      <c r="E26" s="167">
        <v>174.45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4"/>
        <v>26000</v>
      </c>
      <c r="P26" s="23">
        <v>40719</v>
      </c>
      <c r="R26" s="31"/>
    </row>
    <row r="27" spans="1:22" ht="15" customHeight="1">
      <c r="A27" s="23">
        <v>40142</v>
      </c>
      <c r="B27" s="98">
        <f>J5</f>
        <v>2326.04</v>
      </c>
      <c r="C27" s="25">
        <f t="shared" si="0"/>
        <v>174.453</v>
      </c>
      <c r="D27" s="25">
        <v>0</v>
      </c>
      <c r="E27" s="26">
        <f t="shared" si="2"/>
        <v>174.453</v>
      </c>
      <c r="F27" s="25">
        <v>0</v>
      </c>
      <c r="G27" s="27">
        <v>0</v>
      </c>
      <c r="H27" s="27">
        <v>0</v>
      </c>
      <c r="I27" s="56"/>
      <c r="J27" s="56"/>
      <c r="K27" s="56"/>
      <c r="O27" s="14">
        <f t="shared" si="4"/>
        <v>26000</v>
      </c>
      <c r="P27" s="23">
        <v>40369</v>
      </c>
      <c r="R27" s="31"/>
    </row>
    <row r="28" spans="1:22">
      <c r="A28" s="23">
        <v>40157</v>
      </c>
      <c r="B28" s="98">
        <f>J5</f>
        <v>2326.04</v>
      </c>
      <c r="C28" s="25">
        <f t="shared" si="0"/>
        <v>174.453</v>
      </c>
      <c r="D28" s="25">
        <v>0</v>
      </c>
      <c r="E28" s="26">
        <f t="shared" si="2"/>
        <v>174.453</v>
      </c>
      <c r="F28" s="25">
        <v>0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26000</v>
      </c>
      <c r="P28" s="23">
        <v>40384</v>
      </c>
      <c r="R28" s="89"/>
    </row>
    <row r="29" spans="1:22" ht="13.5" thickBot="1">
      <c r="A29" s="23">
        <v>39441</v>
      </c>
      <c r="B29" s="98">
        <f>J5</f>
        <v>2326.04</v>
      </c>
      <c r="C29" s="25">
        <f t="shared" si="0"/>
        <v>174.453</v>
      </c>
      <c r="D29" s="126">
        <v>0</v>
      </c>
      <c r="E29" s="97">
        <f t="shared" si="2"/>
        <v>174.453</v>
      </c>
      <c r="F29" s="97">
        <v>0</v>
      </c>
      <c r="G29" s="27">
        <v>0</v>
      </c>
      <c r="H29" s="27">
        <v>0</v>
      </c>
      <c r="I29" s="56"/>
      <c r="J29" s="56"/>
      <c r="K29" s="56"/>
      <c r="O29" s="14">
        <f t="shared" si="4"/>
        <v>26000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18608.330000000002</v>
      </c>
      <c r="C30" s="59">
        <f t="shared" si="5"/>
        <v>1221.1692499999999</v>
      </c>
      <c r="D30" s="94">
        <f t="shared" si="5"/>
        <v>0</v>
      </c>
      <c r="E30" s="94">
        <f t="shared" si="5"/>
        <v>1221.1692499999999</v>
      </c>
      <c r="F30" s="94">
        <f t="shared" si="5"/>
        <v>0</v>
      </c>
      <c r="G30" s="59">
        <f t="shared" si="5"/>
        <v>0</v>
      </c>
      <c r="H30" s="59">
        <f t="shared" si="5"/>
        <v>0</v>
      </c>
      <c r="I30" s="44"/>
      <c r="J30" s="132"/>
      <c r="K30" s="44"/>
      <c r="O30" s="14">
        <f t="shared" si="4"/>
        <v>26000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1395.6247500000002</v>
      </c>
      <c r="D31" s="160">
        <v>0</v>
      </c>
      <c r="E31" s="64">
        <f>C31</f>
        <v>1395.6247500000002</v>
      </c>
      <c r="F31" s="64">
        <v>0</v>
      </c>
      <c r="G31" s="65"/>
      <c r="H31" s="65"/>
      <c r="I31" s="44"/>
      <c r="J31" s="132"/>
      <c r="K31" s="44"/>
      <c r="O31" s="14">
        <f t="shared" si="4"/>
        <v>26000</v>
      </c>
      <c r="P31" s="23">
        <v>40066</v>
      </c>
      <c r="R31" s="89" t="s">
        <v>32</v>
      </c>
    </row>
    <row r="32" spans="1:22">
      <c r="B32" s="31" t="s">
        <v>128</v>
      </c>
      <c r="C32" s="169">
        <f>C30-C31</f>
        <v>-174.45550000000026</v>
      </c>
      <c r="D32" s="31">
        <f>D30-D31</f>
        <v>0</v>
      </c>
      <c r="E32" s="169">
        <f>E30-E31</f>
        <v>-174.45550000000026</v>
      </c>
      <c r="F32" s="31">
        <f>F30-F31</f>
        <v>0</v>
      </c>
      <c r="G32" s="45"/>
      <c r="H32" s="45"/>
      <c r="I32" s="57"/>
      <c r="J32" s="57"/>
      <c r="K32" s="57"/>
      <c r="O32" s="14">
        <f t="shared" si="4"/>
        <v>26000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26000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26000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26000</v>
      </c>
      <c r="P35" s="23">
        <v>40127</v>
      </c>
    </row>
    <row r="36" spans="2:16">
      <c r="C36" s="31">
        <f>1163.03+5815.1+2326.04+2326.04</f>
        <v>11630.21</v>
      </c>
      <c r="D36" s="31"/>
      <c r="G36" s="36"/>
      <c r="I36" s="70"/>
      <c r="J36" s="57"/>
      <c r="K36" s="57"/>
      <c r="O36" s="14">
        <f t="shared" si="4"/>
        <v>26000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26000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26000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pageMargins left="0.45" right="0.4" top="1" bottom="0.72" header="0.5" footer="0.5"/>
  <pageSetup paperSize="14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28"/>
  <dimension ref="A1:WVS48"/>
  <sheetViews>
    <sheetView zoomScale="85" zoomScaleNormal="85" workbookViewId="0">
      <selection activeCell="E43" sqref="E43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127" t="s">
        <v>133</v>
      </c>
      <c r="C1" s="127"/>
      <c r="D1" s="1" t="s">
        <v>1</v>
      </c>
      <c r="E1" s="2">
        <v>12</v>
      </c>
      <c r="F1" s="16"/>
      <c r="G1" s="16"/>
      <c r="H1" s="2"/>
      <c r="I1" s="3" t="s">
        <v>2</v>
      </c>
      <c r="J1" s="73"/>
    </row>
    <row r="2" spans="1:20" ht="14.25">
      <c r="A2" s="1" t="s">
        <v>4</v>
      </c>
      <c r="B2" s="186">
        <v>10591678</v>
      </c>
      <c r="C2" s="128"/>
      <c r="D2" s="1" t="s">
        <v>94</v>
      </c>
      <c r="E2" s="6"/>
      <c r="H2" s="6"/>
      <c r="I2" s="3" t="s">
        <v>5</v>
      </c>
      <c r="J2" s="73"/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6">
        <v>83500</v>
      </c>
      <c r="K3" s="49"/>
      <c r="L3" s="14">
        <f>-SUM(C30+D30+E30+F30)</f>
        <v>-2348.45775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J3/E1</f>
        <v>6958.333333333333</v>
      </c>
      <c r="K4" s="49"/>
      <c r="L4" s="19">
        <f>SUM(L2:L3)</f>
        <v>55651.542249999999</v>
      </c>
      <c r="M4" s="20" t="s">
        <v>44</v>
      </c>
      <c r="N4" s="20"/>
      <c r="O4" s="14">
        <v>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19500</v>
      </c>
      <c r="H5" s="21">
        <v>19500</v>
      </c>
      <c r="I5" s="3" t="s">
        <v>26</v>
      </c>
      <c r="J5" s="35">
        <f>J4/2</f>
        <v>3479.1666666666665</v>
      </c>
      <c r="K5" s="49"/>
      <c r="O5" s="14">
        <f>-D30</f>
        <v>0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v>0</v>
      </c>
      <c r="E6" s="26">
        <f>B6*0.075</f>
        <v>0</v>
      </c>
      <c r="F6" s="25"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19500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v>0</v>
      </c>
      <c r="E7" s="26">
        <f t="shared" ref="E7:E22" si="1">B7*0.075</f>
        <v>0</v>
      </c>
      <c r="F7" s="25"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v>0</v>
      </c>
      <c r="E8" s="26">
        <f t="shared" si="1"/>
        <v>0</v>
      </c>
      <c r="F8" s="25">
        <v>0</v>
      </c>
      <c r="G8" s="27">
        <v>0</v>
      </c>
      <c r="H8" s="27">
        <v>0</v>
      </c>
      <c r="J8" s="16"/>
      <c r="K8" s="28"/>
      <c r="L8" s="31"/>
      <c r="O8" s="33">
        <f>L4</f>
        <v>55651.542249999999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v>0</v>
      </c>
      <c r="E9" s="26">
        <f t="shared" si="1"/>
        <v>0</v>
      </c>
      <c r="F9" s="25"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v>0</v>
      </c>
      <c r="E10" s="26">
        <f t="shared" si="1"/>
        <v>0</v>
      </c>
      <c r="F10" s="25"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v>0</v>
      </c>
      <c r="E11" s="26">
        <f t="shared" si="1"/>
        <v>0</v>
      </c>
      <c r="F11" s="25"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55651.542249999999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v>0</v>
      </c>
      <c r="E12" s="26">
        <f t="shared" si="1"/>
        <v>0</v>
      </c>
      <c r="F12" s="25"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v>0</v>
      </c>
      <c r="E13" s="26">
        <f t="shared" si="1"/>
        <v>0</v>
      </c>
      <c r="F13" s="25"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v>0</v>
      </c>
      <c r="E14" s="26">
        <f t="shared" si="1"/>
        <v>0</v>
      </c>
      <c r="F14" s="25">
        <v>0</v>
      </c>
      <c r="G14" s="27">
        <v>0</v>
      </c>
      <c r="H14" s="27">
        <v>0</v>
      </c>
      <c r="L14" s="31"/>
      <c r="M14" s="41"/>
      <c r="O14" s="14">
        <f>IF(O11&lt;O6,O11,O6)</f>
        <v>19500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v>0</v>
      </c>
      <c r="E15" s="26">
        <f t="shared" si="1"/>
        <v>0</v>
      </c>
      <c r="F15" s="25">
        <v>0</v>
      </c>
      <c r="G15" s="27">
        <v>0</v>
      </c>
      <c r="H15" s="27">
        <v>0</v>
      </c>
      <c r="L15" s="44"/>
      <c r="M15" s="41"/>
      <c r="O15" s="14">
        <f t="shared" ref="O15:O38" si="2">O14-G6</f>
        <v>19500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v>0</v>
      </c>
      <c r="E16" s="26">
        <f t="shared" si="1"/>
        <v>0</v>
      </c>
      <c r="F16" s="25"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2"/>
        <v>19500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v>0</v>
      </c>
      <c r="E17" s="26">
        <f t="shared" si="1"/>
        <v>0</v>
      </c>
      <c r="F17" s="25">
        <v>0</v>
      </c>
      <c r="G17" s="27">
        <v>0</v>
      </c>
      <c r="H17" s="27">
        <v>0</v>
      </c>
      <c r="L17" s="48"/>
      <c r="M17" s="45"/>
      <c r="N17" s="46"/>
      <c r="O17" s="14">
        <f t="shared" si="2"/>
        <v>19500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v>0</v>
      </c>
      <c r="E18" s="26">
        <f t="shared" si="1"/>
        <v>0</v>
      </c>
      <c r="F18" s="25">
        <v>0</v>
      </c>
      <c r="G18" s="27">
        <v>0</v>
      </c>
      <c r="H18" s="27">
        <v>0</v>
      </c>
      <c r="O18" s="14">
        <f t="shared" si="2"/>
        <v>19500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v>0</v>
      </c>
      <c r="E19" s="26">
        <f t="shared" si="1"/>
        <v>0</v>
      </c>
      <c r="F19" s="25">
        <v>0</v>
      </c>
      <c r="G19" s="27">
        <v>0</v>
      </c>
      <c r="H19" s="27">
        <v>0</v>
      </c>
      <c r="O19" s="14">
        <f t="shared" si="2"/>
        <v>19500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v>0</v>
      </c>
      <c r="E20" s="26">
        <f t="shared" si="1"/>
        <v>0</v>
      </c>
      <c r="F20" s="25">
        <v>0</v>
      </c>
      <c r="G20" s="27">
        <v>0</v>
      </c>
      <c r="H20" s="27">
        <v>0</v>
      </c>
      <c r="I20" s="50"/>
      <c r="J20" s="3"/>
      <c r="K20" s="45"/>
      <c r="O20" s="14">
        <f t="shared" si="2"/>
        <v>19500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v>0</v>
      </c>
      <c r="E21" s="26">
        <f t="shared" si="1"/>
        <v>0</v>
      </c>
      <c r="F21" s="25">
        <v>0</v>
      </c>
      <c r="G21" s="27">
        <v>0</v>
      </c>
      <c r="H21" s="27">
        <v>0</v>
      </c>
      <c r="I21" s="50"/>
      <c r="J21" s="111" t="s">
        <v>143</v>
      </c>
      <c r="K21" s="45"/>
      <c r="O21" s="14">
        <f t="shared" si="2"/>
        <v>19500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v>0</v>
      </c>
      <c r="E22" s="26">
        <f t="shared" si="1"/>
        <v>0</v>
      </c>
      <c r="F22" s="25">
        <v>0</v>
      </c>
      <c r="G22" s="27">
        <v>0</v>
      </c>
      <c r="H22" s="27">
        <v>0</v>
      </c>
      <c r="I22" s="53"/>
      <c r="J22" s="53"/>
      <c r="K22" s="53"/>
      <c r="O22" s="14">
        <f t="shared" si="2"/>
        <v>19500</v>
      </c>
      <c r="P22" s="23">
        <v>40658</v>
      </c>
      <c r="U22" s="31"/>
    </row>
    <row r="23" spans="1:22">
      <c r="A23" s="23">
        <v>40081</v>
      </c>
      <c r="B23" s="98">
        <v>3479.17</v>
      </c>
      <c r="C23" s="25">
        <v>0</v>
      </c>
      <c r="D23" s="25">
        <v>0</v>
      </c>
      <c r="E23" s="31">
        <v>0</v>
      </c>
      <c r="F23" s="25">
        <v>0</v>
      </c>
      <c r="G23" s="27">
        <v>0</v>
      </c>
      <c r="H23" s="27">
        <v>0</v>
      </c>
      <c r="I23" s="53"/>
      <c r="J23" s="53"/>
      <c r="K23" s="53"/>
      <c r="O23" s="14">
        <f t="shared" si="2"/>
        <v>19500</v>
      </c>
      <c r="P23" s="23">
        <v>40673</v>
      </c>
      <c r="R23" s="31"/>
      <c r="U23" s="31"/>
    </row>
    <row r="24" spans="1:22">
      <c r="A24" s="23">
        <v>40096</v>
      </c>
      <c r="B24" s="98">
        <v>3479.17</v>
      </c>
      <c r="C24" s="25">
        <v>260.94</v>
      </c>
      <c r="D24" s="25">
        <v>0</v>
      </c>
      <c r="E24" s="26">
        <f>B25*0.075</f>
        <v>260.93774999999999</v>
      </c>
      <c r="F24" s="25">
        <v>0</v>
      </c>
      <c r="G24" s="27">
        <v>0</v>
      </c>
      <c r="H24" s="27">
        <v>0</v>
      </c>
      <c r="I24" s="53"/>
      <c r="J24" s="53"/>
      <c r="K24" s="53"/>
      <c r="O24" s="14">
        <f t="shared" si="2"/>
        <v>19500</v>
      </c>
      <c r="P24" s="23">
        <v>40688</v>
      </c>
      <c r="R24" s="31"/>
      <c r="U24" s="31"/>
    </row>
    <row r="25" spans="1:22">
      <c r="A25" s="23">
        <v>40111</v>
      </c>
      <c r="B25" s="98">
        <v>3479.17</v>
      </c>
      <c r="C25" s="25">
        <v>782.82</v>
      </c>
      <c r="D25" s="25">
        <v>0</v>
      </c>
      <c r="E25" s="26">
        <v>782.82</v>
      </c>
      <c r="F25" s="25">
        <v>0</v>
      </c>
      <c r="G25" s="27">
        <v>0</v>
      </c>
      <c r="H25" s="27">
        <v>0</v>
      </c>
      <c r="I25" s="3" t="s">
        <v>144</v>
      </c>
      <c r="J25" s="55"/>
      <c r="K25" s="54"/>
      <c r="O25" s="14">
        <f t="shared" si="2"/>
        <v>19500</v>
      </c>
      <c r="P25" s="23">
        <v>40704</v>
      </c>
      <c r="R25" s="31"/>
    </row>
    <row r="26" spans="1:22">
      <c r="A26" s="23">
        <v>40127</v>
      </c>
      <c r="B26" s="98">
        <f>J5</f>
        <v>3479.1666666666665</v>
      </c>
      <c r="C26" s="25">
        <v>130.47</v>
      </c>
      <c r="D26" s="25">
        <v>0</v>
      </c>
      <c r="E26" s="26">
        <v>130.47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2"/>
        <v>19500</v>
      </c>
      <c r="P26" s="23">
        <v>40719</v>
      </c>
      <c r="R26" s="31"/>
    </row>
    <row r="27" spans="1:22" ht="15" customHeight="1">
      <c r="A27" s="23">
        <v>40142</v>
      </c>
      <c r="B27" s="98">
        <v>0</v>
      </c>
      <c r="C27" s="98">
        <f>K5</f>
        <v>0</v>
      </c>
      <c r="D27" s="98">
        <f>L5</f>
        <v>0</v>
      </c>
      <c r="E27" s="98">
        <f>M5</f>
        <v>0</v>
      </c>
      <c r="F27" s="25">
        <v>0</v>
      </c>
      <c r="G27" s="27">
        <v>0</v>
      </c>
      <c r="H27" s="27">
        <v>0</v>
      </c>
      <c r="I27" s="56"/>
      <c r="J27" s="56"/>
      <c r="K27" s="56"/>
      <c r="O27" s="14">
        <f t="shared" si="2"/>
        <v>19500</v>
      </c>
      <c r="P27" s="23">
        <v>40369</v>
      </c>
      <c r="R27" s="31"/>
    </row>
    <row r="28" spans="1:22">
      <c r="A28" s="23">
        <v>40157</v>
      </c>
      <c r="B28" s="98">
        <v>0</v>
      </c>
      <c r="C28" s="25">
        <f t="shared" si="0"/>
        <v>0</v>
      </c>
      <c r="D28" s="25">
        <v>0</v>
      </c>
      <c r="E28" s="26">
        <f>B28*0.075</f>
        <v>0</v>
      </c>
      <c r="F28" s="25">
        <v>0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2"/>
        <v>19500</v>
      </c>
      <c r="P28" s="23">
        <v>40384</v>
      </c>
      <c r="R28" s="89"/>
    </row>
    <row r="29" spans="1:22" ht="13.5" thickBot="1">
      <c r="A29" s="23">
        <v>39441</v>
      </c>
      <c r="B29" s="98">
        <v>0</v>
      </c>
      <c r="C29" s="25">
        <f t="shared" si="0"/>
        <v>0</v>
      </c>
      <c r="D29" s="126">
        <v>0</v>
      </c>
      <c r="E29" s="97">
        <f>B29*0.075</f>
        <v>0</v>
      </c>
      <c r="F29" s="97">
        <v>0</v>
      </c>
      <c r="G29" s="27">
        <v>0</v>
      </c>
      <c r="H29" s="27">
        <v>0</v>
      </c>
      <c r="I29" s="56"/>
      <c r="J29" s="56"/>
      <c r="K29" s="56"/>
      <c r="O29" s="14">
        <f t="shared" si="2"/>
        <v>19500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3">SUM(B6:B29)</f>
        <v>13916.676666666666</v>
      </c>
      <c r="C30" s="59">
        <f t="shared" si="3"/>
        <v>1174.23</v>
      </c>
      <c r="D30" s="94">
        <f t="shared" si="3"/>
        <v>0</v>
      </c>
      <c r="E30" s="94">
        <f t="shared" si="3"/>
        <v>1174.22775</v>
      </c>
      <c r="F30" s="94">
        <f t="shared" si="3"/>
        <v>0</v>
      </c>
      <c r="G30" s="59">
        <f t="shared" si="3"/>
        <v>0</v>
      </c>
      <c r="H30" s="59">
        <f t="shared" si="3"/>
        <v>0</v>
      </c>
      <c r="I30" s="44"/>
      <c r="J30" s="132"/>
      <c r="K30" s="44"/>
      <c r="O30" s="14">
        <f t="shared" si="2"/>
        <v>19500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1043.7507499999999</v>
      </c>
      <c r="D31" s="160">
        <v>0</v>
      </c>
      <c r="E31" s="64">
        <f>C31</f>
        <v>1043.7507499999999</v>
      </c>
      <c r="F31" s="64">
        <v>0</v>
      </c>
      <c r="G31" s="65"/>
      <c r="H31" s="65"/>
      <c r="I31" s="44"/>
      <c r="J31" s="132"/>
      <c r="K31" s="44"/>
      <c r="O31" s="14">
        <f t="shared" si="2"/>
        <v>19500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130.47925000000009</v>
      </c>
      <c r="D32" s="31">
        <f>D30-D31</f>
        <v>0</v>
      </c>
      <c r="E32" s="31">
        <f>E30-E31</f>
        <v>130.47700000000009</v>
      </c>
      <c r="F32" s="31">
        <f>F30-F31</f>
        <v>0</v>
      </c>
      <c r="G32" s="45"/>
      <c r="H32" s="45"/>
      <c r="I32" s="57"/>
      <c r="J32" s="57"/>
      <c r="K32" s="57"/>
      <c r="O32" s="14">
        <f t="shared" si="2"/>
        <v>19500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2"/>
        <v>19500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3">
        <f>1174.23-1043.75</f>
        <v>130.48000000000002</v>
      </c>
      <c r="K34" s="57"/>
      <c r="O34" s="14">
        <f t="shared" si="2"/>
        <v>19500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2"/>
        <v>19500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2"/>
        <v>19500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2"/>
        <v>19500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2"/>
        <v>19500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pageMargins left="0.45" right="0.4" top="1" bottom="0.72" header="0.5" footer="0.5"/>
  <pageSetup paperSize="1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Bandyopadhyay 11.25 &amp; 12.10.</vt:lpstr>
      <vt:lpstr>Bender 11.25.</vt:lpstr>
      <vt:lpstr>Bose, Susmita 11.25.1</vt:lpstr>
      <vt:lpstr>Ding, Jow 11.25.</vt:lpstr>
      <vt:lpstr>Eilers - 11.10 Double check</vt:lpstr>
      <vt:lpstr>Eilers - full yr</vt:lpstr>
      <vt:lpstr>Etheridge</vt:lpstr>
      <vt:lpstr>Flores1</vt:lpstr>
      <vt:lpstr>Franklin (SK)</vt:lpstr>
      <vt:lpstr>He 10.25</vt:lpstr>
      <vt:lpstr>Jordan, Michael</vt:lpstr>
      <vt:lpstr>Jordan, Michalel2</vt:lpstr>
      <vt:lpstr>Manoranjan, V. 11.25.</vt:lpstr>
      <vt:lpstr>Max of Salary ex.</vt:lpstr>
      <vt:lpstr>Max of Salary ex.  (2)</vt:lpstr>
      <vt:lpstr>Max of Salary ex. 2</vt:lpstr>
      <vt:lpstr>Max of Salary ex. 2.</vt:lpstr>
      <vt:lpstr>McClusky 11.25.</vt:lpstr>
      <vt:lpstr>McDonald (2)</vt:lpstr>
      <vt:lpstr>Netzhammer</vt:lpstr>
      <vt:lpstr>Other Green</vt:lpstr>
      <vt:lpstr>Sanders 12.10 (SK)</vt:lpstr>
      <vt:lpstr>Schulz, N</vt:lpstr>
      <vt:lpstr>Smith, Lloyd 11.25.</vt:lpstr>
      <vt:lpstr>Thomas</vt:lpstr>
      <vt:lpstr>Wilkins-Fontenor 11.25.1</vt:lpstr>
      <vt:lpstr>Will not get 1.5% on 2020</vt:lpstr>
      <vt:lpstr>&gt;=50 Calc for DRS Plans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Monroe, Ann</dc:creator>
  <cp:lastModifiedBy>Monroe, Ann</cp:lastModifiedBy>
  <cp:lastPrinted>2021-12-13T19:34:39Z</cp:lastPrinted>
  <dcterms:created xsi:type="dcterms:W3CDTF">2014-12-01T15:10:32Z</dcterms:created>
  <dcterms:modified xsi:type="dcterms:W3CDTF">2024-12-23T22:10:24Z</dcterms:modified>
</cp:coreProperties>
</file>