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enefits\Retirement\IRS - 403b, 415, etc\VIP Calculator\2025\"/>
    </mc:Choice>
  </mc:AlternateContent>
  <xr:revisionPtr revIDLastSave="0" documentId="13_ncr:1_{BCE71CB7-3B0C-463B-9D3F-B825D038996F}" xr6:coauthVersionLast="47" xr6:coauthVersionMax="47" xr10:uidLastSave="{00000000-0000-0000-0000-000000000000}"/>
  <bookViews>
    <workbookView xWindow="28680" yWindow="-120" windowWidth="29040" windowHeight="15720" firstSheet="27" activeTab="27" xr2:uid="{00000000-000D-0000-FFFF-FFFF00000000}"/>
  </bookViews>
  <sheets>
    <sheet name="Bandyopadhyay 11.25 &amp; 12.10." sheetId="984" state="hidden" r:id="rId1"/>
    <sheet name="Bender 11.25." sheetId="987" state="hidden" r:id="rId2"/>
    <sheet name="Bose, Susmita 11.25.1" sheetId="988" state="hidden" r:id="rId3"/>
    <sheet name="Ding, Jow 11.25." sheetId="990" state="hidden" r:id="rId4"/>
    <sheet name="Eilers - 11.10 Double check" sheetId="961" state="hidden" r:id="rId5"/>
    <sheet name="Eilers - full yr" sheetId="1071" state="hidden" r:id="rId6"/>
    <sheet name="Etheridge" sheetId="843" state="hidden" r:id="rId7"/>
    <sheet name="Flores1" sheetId="1045" state="hidden" r:id="rId8"/>
    <sheet name="Franklin (SK)" sheetId="1442" state="hidden" r:id="rId9"/>
    <sheet name="He 10.25" sheetId="874" state="hidden" r:id="rId10"/>
    <sheet name="Jordan, Michael" sheetId="907" state="hidden" r:id="rId11"/>
    <sheet name="Jordan, Michalel2" sheetId="1055" state="hidden" r:id="rId12"/>
    <sheet name="Manoranjan, V. 11.25." sheetId="969" state="hidden" r:id="rId13"/>
    <sheet name="Max of Salary ex." sheetId="826" state="hidden" r:id="rId14"/>
    <sheet name="Max of Salary ex.  (2)" sheetId="617" state="hidden" r:id="rId15"/>
    <sheet name="Max of Salary ex. 2" sheetId="11" state="hidden" r:id="rId16"/>
    <sheet name="Max of Salary ex. 2." sheetId="827" state="hidden" r:id="rId17"/>
    <sheet name="McClusky 11.25." sheetId="1005" state="hidden" r:id="rId18"/>
    <sheet name="McDonald (2)" sheetId="886" state="hidden" r:id="rId19"/>
    <sheet name="Netzhammer" sheetId="889" state="hidden" r:id="rId20"/>
    <sheet name="Other Green" sheetId="870" state="hidden" r:id="rId21"/>
    <sheet name="Sanders 12.10 (SK)" sheetId="1441" state="hidden" r:id="rId22"/>
    <sheet name="Schulz, N" sheetId="832" state="hidden" r:id="rId23"/>
    <sheet name="Smith, Lloyd 11.25." sheetId="974" state="hidden" r:id="rId24"/>
    <sheet name="Thomas" sheetId="1047" state="hidden" r:id="rId25"/>
    <sheet name="Wilkins-Fontenor 11.25.1" sheetId="980" state="hidden" r:id="rId26"/>
    <sheet name="Will not get 1.5% on 2020" sheetId="1" state="hidden" r:id="rId27"/>
    <sheet name="35 to 49 Calc for WSURP" sheetId="1816" r:id="rId28"/>
  </sheets>
  <definedNames>
    <definedName name="Z_38B7F0AC_1968_4179_B248_6144E152B72B_.wvu.Cols" localSheetId="27" hidden="1">'35 to 49 Calc for WSURP'!#REF!,'35 to 49 Calc for WSURP'!$IQ:$IT,'35 to 49 Calc for WSURP'!$SM:$SP,'35 to 49 Calc for WSURP'!$ACI:$ACL,'35 to 49 Calc for WSURP'!$AME:$AMH,'35 to 49 Calc for WSURP'!$AWA:$AWD,'35 to 49 Calc for WSURP'!$BFW:$BFZ,'35 to 49 Calc for WSURP'!$BPS:$BPV,'35 to 49 Calc for WSURP'!$BZO:$BZR,'35 to 49 Calc for WSURP'!$CJK:$CJN,'35 to 49 Calc for WSURP'!$CTG:$CTJ,'35 to 49 Calc for WSURP'!$DDC:$DDF,'35 to 49 Calc for WSURP'!$DMY:$DNB,'35 to 49 Calc for WSURP'!$DWU:$DWX,'35 to 49 Calc for WSURP'!$EGQ:$EGT,'35 to 49 Calc for WSURP'!$EQM:$EQP,'35 to 49 Calc for WSURP'!$FAI:$FAL,'35 to 49 Calc for WSURP'!$FKE:$FKH,'35 to 49 Calc for WSURP'!$FUA:$FUD,'35 to 49 Calc for WSURP'!$GDW:$GDZ,'35 to 49 Calc for WSURP'!$GNS:$GNV,'35 to 49 Calc for WSURP'!$GXO:$GXR,'35 to 49 Calc for WSURP'!$HHK:$HHN,'35 to 49 Calc for WSURP'!$HRG:$HRJ,'35 to 49 Calc for WSURP'!$IBC:$IBF,'35 to 49 Calc for WSURP'!$IKY:$ILB,'35 to 49 Calc for WSURP'!$IUU:$IUX,'35 to 49 Calc for WSURP'!$JEQ:$JET,'35 to 49 Calc for WSURP'!$JOM:$JOP,'35 to 49 Calc for WSURP'!$JYI:$JYL,'35 to 49 Calc for WSURP'!$KIE:$KIH,'35 to 49 Calc for WSURP'!$KSA:$KSD,'35 to 49 Calc for WSURP'!$LBW:$LBZ,'35 to 49 Calc for WSURP'!$LLS:$LLV,'35 to 49 Calc for WSURP'!$LVO:$LVR,'35 to 49 Calc for WSURP'!$MFK:$MFN,'35 to 49 Calc for WSURP'!$MPG:$MPJ,'35 to 49 Calc for WSURP'!$MZC:$MZF,'35 to 49 Calc for WSURP'!$NIY:$NJB,'35 to 49 Calc for WSURP'!$NSU:$NSX,'35 to 49 Calc for WSURP'!$OCQ:$OCT,'35 to 49 Calc for WSURP'!$OMM:$OMP,'35 to 49 Calc for WSURP'!$OWI:$OWL,'35 to 49 Calc for WSURP'!$PGE:$PGH,'35 to 49 Calc for WSURP'!$PQA:$PQD,'35 to 49 Calc for WSURP'!$PZW:$PZZ,'35 to 49 Calc for WSURP'!$QJS:$QJV,'35 to 49 Calc for WSURP'!$QTO:$QTR,'35 to 49 Calc for WSURP'!$RDK:$RDN,'35 to 49 Calc for WSURP'!$RNG:$RNJ,'35 to 49 Calc for WSURP'!$RXC:$RXF,'35 to 49 Calc for WSURP'!$SGY:$SHB,'35 to 49 Calc for WSURP'!$SQU:$SQX,'35 to 49 Calc for WSURP'!$TAQ:$TAT,'35 to 49 Calc for WSURP'!$TKM:$TKP,'35 to 49 Calc for WSURP'!$TUI:$TUL,'35 to 49 Calc for WSURP'!$UEE:$UEH,'35 to 49 Calc for WSURP'!$UOA:$UOD,'35 to 49 Calc for WSURP'!$UXW:$UXZ,'35 to 49 Calc for WSURP'!$VHS:$VHV,'35 to 49 Calc for WSURP'!$VRO:$VRR,'35 to 49 Calc for WSURP'!$WBK:$WBN,'35 to 49 Calc for WSURP'!$WLG:$WLJ,'35 to 49 Calc for WSURP'!$WVC:$WVF</definedName>
    <definedName name="Z_38B7F0AC_1968_4179_B248_6144E152B72B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38B7F0AC_1968_4179_B248_6144E152B72B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38B7F0AC_1968_4179_B248_6144E152B72B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38B7F0AC_1968_4179_B248_6144E152B72B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38B7F0AC_1968_4179_B248_6144E152B72B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38B7F0AC_1968_4179_B248_6144E152B72B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38B7F0AC_1968_4179_B248_6144E152B72B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38B7F0AC_1968_4179_B248_6144E152B72B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38B7F0AC_1968_4179_B248_6144E152B72B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38B7F0AC_1968_4179_B248_6144E152B72B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38B7F0AC_1968_4179_B248_6144E152B72B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38B7F0AC_1968_4179_B248_6144E152B72B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38B7F0AC_1968_4179_B248_6144E152B72B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38B7F0AC_1968_4179_B248_6144E152B72B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38B7F0AC_1968_4179_B248_6144E152B72B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38B7F0AC_1968_4179_B248_6144E152B72B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38B7F0AC_1968_4179_B248_6144E152B72B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38B7F0AC_1968_4179_B248_6144E152B72B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38B7F0AC_1968_4179_B248_6144E152B72B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38B7F0AC_1968_4179_B248_6144E152B72B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38B7F0AC_1968_4179_B248_6144E152B72B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38B7F0AC_1968_4179_B248_6144E152B72B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38B7F0AC_1968_4179_B248_6144E152B72B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38B7F0AC_1968_4179_B248_6144E152B72B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38B7F0AC_1968_4179_B248_6144E152B72B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B51D5B49_D308_4214_86D8_9F7F021478DE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51D5B49_D308_4214_86D8_9F7F021478DE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51D5B49_D308_4214_86D8_9F7F021478DE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51D5B49_D308_4214_86D8_9F7F021478DE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51D5B49_D308_4214_86D8_9F7F021478DE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51D5B49_D308_4214_86D8_9F7F021478DE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51D5B49_D308_4214_86D8_9F7F021478DE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7" hidden="1">'35 to 49 Calc for WSURP'!#REF!,'35 to 49 Calc for WSURP'!$IQ:$IT,'35 to 49 Calc for WSURP'!$SM:$SP,'35 to 49 Calc for WSURP'!$ACI:$ACL,'35 to 49 Calc for WSURP'!$AME:$AMH,'35 to 49 Calc for WSURP'!$AWA:$AWD,'35 to 49 Calc for WSURP'!$BFW:$BFZ,'35 to 49 Calc for WSURP'!$BPS:$BPV,'35 to 49 Calc for WSURP'!$BZO:$BZR,'35 to 49 Calc for WSURP'!$CJK:$CJN,'35 to 49 Calc for WSURP'!$CTG:$CTJ,'35 to 49 Calc for WSURP'!$DDC:$DDF,'35 to 49 Calc for WSURP'!$DMY:$DNB,'35 to 49 Calc for WSURP'!$DWU:$DWX,'35 to 49 Calc for WSURP'!$EGQ:$EGT,'35 to 49 Calc for WSURP'!$EQM:$EQP,'35 to 49 Calc for WSURP'!$FAI:$FAL,'35 to 49 Calc for WSURP'!$FKE:$FKH,'35 to 49 Calc for WSURP'!$FUA:$FUD,'35 to 49 Calc for WSURP'!$GDW:$GDZ,'35 to 49 Calc for WSURP'!$GNS:$GNV,'35 to 49 Calc for WSURP'!$GXO:$GXR,'35 to 49 Calc for WSURP'!$HHK:$HHN,'35 to 49 Calc for WSURP'!$HRG:$HRJ,'35 to 49 Calc for WSURP'!$IBC:$IBF,'35 to 49 Calc for WSURP'!$IKY:$ILB,'35 to 49 Calc for WSURP'!$IUU:$IUX,'35 to 49 Calc for WSURP'!$JEQ:$JET,'35 to 49 Calc for WSURP'!$JOM:$JOP,'35 to 49 Calc for WSURP'!$JYI:$JYL,'35 to 49 Calc for WSURP'!$KIE:$KIH,'35 to 49 Calc for WSURP'!$KSA:$KSD,'35 to 49 Calc for WSURP'!$LBW:$LBZ,'35 to 49 Calc for WSURP'!$LLS:$LLV,'35 to 49 Calc for WSURP'!$LVO:$LVR,'35 to 49 Calc for WSURP'!$MFK:$MFN,'35 to 49 Calc for WSURP'!$MPG:$MPJ,'35 to 49 Calc for WSURP'!$MZC:$MZF,'35 to 49 Calc for WSURP'!$NIY:$NJB,'35 to 49 Calc for WSURP'!$NSU:$NSX,'35 to 49 Calc for WSURP'!$OCQ:$OCT,'35 to 49 Calc for WSURP'!$OMM:$OMP,'35 to 49 Calc for WSURP'!$OWI:$OWL,'35 to 49 Calc for WSURP'!$PGE:$PGH,'35 to 49 Calc for WSURP'!$PQA:$PQD,'35 to 49 Calc for WSURP'!$PZW:$PZZ,'35 to 49 Calc for WSURP'!$QJS:$QJV,'35 to 49 Calc for WSURP'!$QTO:$QTR,'35 to 49 Calc for WSURP'!$RDK:$RDN,'35 to 49 Calc for WSURP'!$RNG:$RNJ,'35 to 49 Calc for WSURP'!$RXC:$RXF,'35 to 49 Calc for WSURP'!$SGY:$SHB,'35 to 49 Calc for WSURP'!$SQU:$SQX,'35 to 49 Calc for WSURP'!$TAQ:$TAT,'35 to 49 Calc for WSURP'!$TKM:$TKP,'35 to 49 Calc for WSURP'!$TUI:$TUL,'35 to 49 Calc for WSURP'!$UEE:$UEH,'35 to 49 Calc for WSURP'!$UOA:$UOD,'35 to 49 Calc for WSURP'!$UXW:$UXZ,'35 to 49 Calc for WSURP'!$VHS:$VHV,'35 to 49 Calc for WSURP'!$VRO:$VRR,'35 to 49 Calc for WSURP'!$WBK:$WBN,'35 to 49 Calc for WSURP'!$WLG:$WLJ,'35 to 49 Calc for WSURP'!$WVC:$WVF</definedName>
    <definedName name="Z_BA478993_72B7_49F8_A967_B5443FE6D752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BA478993_72B7_49F8_A967_B5443FE6D752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BA478993_72B7_49F8_A967_B5443FE6D752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BA478993_72B7_49F8_A967_B5443FE6D752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BA478993_72B7_49F8_A967_B5443FE6D752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BA478993_72B7_49F8_A967_B5443FE6D752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BA478993_72B7_49F8_A967_B5443FE6D752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BA478993_72B7_49F8_A967_B5443FE6D752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BA478993_72B7_49F8_A967_B5443FE6D752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BA478993_72B7_49F8_A967_B5443FE6D752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BA478993_72B7_49F8_A967_B5443FE6D752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BA478993_72B7_49F8_A967_B5443FE6D752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BA478993_72B7_49F8_A967_B5443FE6D752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BA478993_72B7_49F8_A967_B5443FE6D752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A478993_72B7_49F8_A967_B5443FE6D752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A478993_72B7_49F8_A967_B5443FE6D752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A478993_72B7_49F8_A967_B5443FE6D752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A478993_72B7_49F8_A967_B5443FE6D752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BA478993_72B7_49F8_A967_B5443FE6D752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A478993_72B7_49F8_A967_B5443FE6D752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A478993_72B7_49F8_A967_B5443FE6D752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BA478993_72B7_49F8_A967_B5443FE6D752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BA478993_72B7_49F8_A967_B5443FE6D752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BA478993_72B7_49F8_A967_B5443FE6D752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CA177B0E_0054_43B8_A082_5F02BC357538_.wvu.Cols" localSheetId="27" hidden="1">'35 to 49 Calc for WSURP'!#REF!,'35 to 49 Calc for WSURP'!$IQ:$IT,'35 to 49 Calc for WSURP'!$SM:$SP,'35 to 49 Calc for WSURP'!$ACI:$ACL,'35 to 49 Calc for WSURP'!$AME:$AMH,'35 to 49 Calc for WSURP'!$AWA:$AWD,'35 to 49 Calc for WSURP'!$BFW:$BFZ,'35 to 49 Calc for WSURP'!$BPS:$BPV,'35 to 49 Calc for WSURP'!$BZO:$BZR,'35 to 49 Calc for WSURP'!$CJK:$CJN,'35 to 49 Calc for WSURP'!$CTG:$CTJ,'35 to 49 Calc for WSURP'!$DDC:$DDF,'35 to 49 Calc for WSURP'!$DMY:$DNB,'35 to 49 Calc for WSURP'!$DWU:$DWX,'35 to 49 Calc for WSURP'!$EGQ:$EGT,'35 to 49 Calc for WSURP'!$EQM:$EQP,'35 to 49 Calc for WSURP'!$FAI:$FAL,'35 to 49 Calc for WSURP'!$FKE:$FKH,'35 to 49 Calc for WSURP'!$FUA:$FUD,'35 to 49 Calc for WSURP'!$GDW:$GDZ,'35 to 49 Calc for WSURP'!$GNS:$GNV,'35 to 49 Calc for WSURP'!$GXO:$GXR,'35 to 49 Calc for WSURP'!$HHK:$HHN,'35 to 49 Calc for WSURP'!$HRG:$HRJ,'35 to 49 Calc for WSURP'!$IBC:$IBF,'35 to 49 Calc for WSURP'!$IKY:$ILB,'35 to 49 Calc for WSURP'!$IUU:$IUX,'35 to 49 Calc for WSURP'!$JEQ:$JET,'35 to 49 Calc for WSURP'!$JOM:$JOP,'35 to 49 Calc for WSURP'!$JYI:$JYL,'35 to 49 Calc for WSURP'!$KIE:$KIH,'35 to 49 Calc for WSURP'!$KSA:$KSD,'35 to 49 Calc for WSURP'!$LBW:$LBZ,'35 to 49 Calc for WSURP'!$LLS:$LLV,'35 to 49 Calc for WSURP'!$LVO:$LVR,'35 to 49 Calc for WSURP'!$MFK:$MFN,'35 to 49 Calc for WSURP'!$MPG:$MPJ,'35 to 49 Calc for WSURP'!$MZC:$MZF,'35 to 49 Calc for WSURP'!$NIY:$NJB,'35 to 49 Calc for WSURP'!$NSU:$NSX,'35 to 49 Calc for WSURP'!$OCQ:$OCT,'35 to 49 Calc for WSURP'!$OMM:$OMP,'35 to 49 Calc for WSURP'!$OWI:$OWL,'35 to 49 Calc for WSURP'!$PGE:$PGH,'35 to 49 Calc for WSURP'!$PQA:$PQD,'35 to 49 Calc for WSURP'!$PZW:$PZZ,'35 to 49 Calc for WSURP'!$QJS:$QJV,'35 to 49 Calc for WSURP'!$QTO:$QTR,'35 to 49 Calc for WSURP'!$RDK:$RDN,'35 to 49 Calc for WSURP'!$RNG:$RNJ,'35 to 49 Calc for WSURP'!$RXC:$RXF,'35 to 49 Calc for WSURP'!$SGY:$SHB,'35 to 49 Calc for WSURP'!$SQU:$SQX,'35 to 49 Calc for WSURP'!$TAQ:$TAT,'35 to 49 Calc for WSURP'!$TKM:$TKP,'35 to 49 Calc for WSURP'!$TUI:$TUL,'35 to 49 Calc for WSURP'!$UEE:$UEH,'35 to 49 Calc for WSURP'!$UOA:$UOD,'35 to 49 Calc for WSURP'!$UXW:$UXZ,'35 to 49 Calc for WSURP'!$VHS:$VHV,'35 to 49 Calc for WSURP'!$VRO:$VRR,'35 to 49 Calc for WSURP'!$WBK:$WBN,'35 to 49 Calc for WSURP'!$WLG:$WLJ,'35 to 49 Calc for WSURP'!$WVC:$WVF</definedName>
    <definedName name="Z_CA177B0E_0054_43B8_A082_5F02BC357538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CA177B0E_0054_43B8_A082_5F02BC357538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CA177B0E_0054_43B8_A082_5F02BC357538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CA177B0E_0054_43B8_A082_5F02BC357538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CA177B0E_0054_43B8_A082_5F02BC357538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CA177B0E_0054_43B8_A082_5F02BC357538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CA177B0E_0054_43B8_A082_5F02BC357538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CA177B0E_0054_43B8_A082_5F02BC357538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CA177B0E_0054_43B8_A082_5F02BC357538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CA177B0E_0054_43B8_A082_5F02BC357538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CA177B0E_0054_43B8_A082_5F02BC357538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CA177B0E_0054_43B8_A082_5F02BC357538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CA177B0E_0054_43B8_A082_5F02BC357538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CA177B0E_0054_43B8_A082_5F02BC357538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CA177B0E_0054_43B8_A082_5F02BC357538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CA177B0E_0054_43B8_A082_5F02BC357538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CA177B0E_0054_43B8_A082_5F02BC357538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CA177B0E_0054_43B8_A082_5F02BC357538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CA177B0E_0054_43B8_A082_5F02BC357538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CA177B0E_0054_43B8_A082_5F02BC357538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CA177B0E_0054_43B8_A082_5F02BC357538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CA177B0E_0054_43B8_A082_5F02BC357538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CA177B0E_0054_43B8_A082_5F02BC357538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CA177B0E_0054_43B8_A082_5F02BC357538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CA177B0E_0054_43B8_A082_5F02BC357538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</definedNames>
  <calcPr calcId="191029"/>
  <customWorkbookViews>
    <customWorkbookView name="Vaughn, Tracy M - Personal View" guid="{B51D5B49-D308-4214-86D8-9F7F021478DE}" mergeInterval="0" personalView="1" maximized="1" xWindow="1911" yWindow="-9" windowWidth="1938" windowHeight="1098" activeSheetId="382"/>
    <customWorkbookView name="Monroe, Ann - Personal View" guid="{38B7F0AC-1968-4179-B248-6144E152B72B}" mergeInterval="0" personalView="1" maximized="1" xWindow="-8" yWindow="-8" windowWidth="1936" windowHeight="1056" activeSheetId="1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816" l="1"/>
  <c r="A27" i="1816" s="1"/>
  <c r="A33" i="1816"/>
  <c r="A23" i="1816"/>
  <c r="A26" i="1816" l="1"/>
  <c r="A28" i="1816" s="1"/>
  <c r="J34" i="1442"/>
  <c r="H30" i="1442"/>
  <c r="G30" i="1442"/>
  <c r="F30" i="1442"/>
  <c r="F32" i="1442" s="1"/>
  <c r="E29" i="1442"/>
  <c r="C29" i="1442"/>
  <c r="E28" i="1442"/>
  <c r="C28" i="1442"/>
  <c r="E27" i="1442"/>
  <c r="D27" i="1442"/>
  <c r="D30" i="1442" s="1"/>
  <c r="C27" i="1442"/>
  <c r="E24" i="1442"/>
  <c r="E22" i="1442"/>
  <c r="C22" i="1442"/>
  <c r="E21" i="1442"/>
  <c r="C21" i="1442"/>
  <c r="E20" i="1442"/>
  <c r="C20" i="1442"/>
  <c r="E19" i="1442"/>
  <c r="C19" i="1442"/>
  <c r="E18" i="1442"/>
  <c r="C18" i="1442"/>
  <c r="E17" i="1442"/>
  <c r="C17" i="1442"/>
  <c r="E16" i="1442"/>
  <c r="C16" i="1442"/>
  <c r="E15" i="1442"/>
  <c r="C15" i="1442"/>
  <c r="E14" i="1442"/>
  <c r="C14" i="1442"/>
  <c r="E13" i="1442"/>
  <c r="C13" i="1442"/>
  <c r="E12" i="1442"/>
  <c r="C12" i="1442"/>
  <c r="E11" i="1442"/>
  <c r="C11" i="1442"/>
  <c r="E10" i="1442"/>
  <c r="C10" i="1442"/>
  <c r="E9" i="1442"/>
  <c r="C9" i="1442"/>
  <c r="E8" i="1442"/>
  <c r="C8" i="1442"/>
  <c r="E7" i="1442"/>
  <c r="C7" i="1442"/>
  <c r="E6" i="1442"/>
  <c r="C6" i="1442"/>
  <c r="J4" i="1442"/>
  <c r="J5" i="1442" s="1"/>
  <c r="B26" i="1442" s="1"/>
  <c r="B30" i="1442" s="1"/>
  <c r="C31" i="1442" s="1"/>
  <c r="E31" i="1442" s="1"/>
  <c r="H30" i="1441"/>
  <c r="G30" i="1441"/>
  <c r="F30" i="1441"/>
  <c r="F32" i="1441" s="1"/>
  <c r="D30" i="1441"/>
  <c r="D32" i="1441" s="1"/>
  <c r="E25" i="1441"/>
  <c r="C25" i="1441"/>
  <c r="E24" i="1441"/>
  <c r="C24" i="1441"/>
  <c r="E23" i="1441"/>
  <c r="C23" i="1441"/>
  <c r="E22" i="1441"/>
  <c r="C22" i="1441"/>
  <c r="E21" i="1441"/>
  <c r="C21" i="1441"/>
  <c r="E20" i="1441"/>
  <c r="C20" i="1441"/>
  <c r="E19" i="1441"/>
  <c r="C19" i="1441"/>
  <c r="E18" i="1441"/>
  <c r="C18" i="1441"/>
  <c r="E17" i="1441"/>
  <c r="C17" i="1441"/>
  <c r="E16" i="1441"/>
  <c r="C16" i="1441"/>
  <c r="E15" i="1441"/>
  <c r="C15" i="1441"/>
  <c r="E14" i="1441"/>
  <c r="C14" i="1441"/>
  <c r="E13" i="1441"/>
  <c r="C13" i="1441"/>
  <c r="E12" i="1441"/>
  <c r="C12" i="1441"/>
  <c r="E11" i="1441"/>
  <c r="C11" i="1441"/>
  <c r="E10" i="1441"/>
  <c r="C10" i="1441"/>
  <c r="E9" i="1441"/>
  <c r="C9" i="1441"/>
  <c r="E8" i="1441"/>
  <c r="C8" i="1441"/>
  <c r="E7" i="1441"/>
  <c r="C7" i="1441"/>
  <c r="E6" i="1441"/>
  <c r="C6" i="1441"/>
  <c r="J5" i="1441"/>
  <c r="E29" i="1441" s="1"/>
  <c r="J3" i="1441"/>
  <c r="O5" i="1441" l="1"/>
  <c r="O6" i="1441" s="1"/>
  <c r="B27" i="1441"/>
  <c r="B28" i="1441"/>
  <c r="B29" i="1441"/>
  <c r="C30" i="1442"/>
  <c r="E30" i="1442"/>
  <c r="E32" i="1442" s="1"/>
  <c r="O5" i="1442"/>
  <c r="O6" i="1442" s="1"/>
  <c r="D32" i="1442"/>
  <c r="C27" i="1441"/>
  <c r="C28" i="1441"/>
  <c r="C29" i="1441"/>
  <c r="E27" i="1441"/>
  <c r="E28" i="1441"/>
  <c r="C30" i="1441" l="1"/>
  <c r="B30" i="1441"/>
  <c r="E30" i="1441"/>
  <c r="L3" i="1442"/>
  <c r="L4" i="1442" s="1"/>
  <c r="O8" i="1442" s="1"/>
  <c r="O11" i="1442" s="1"/>
  <c r="O14" i="1442" s="1"/>
  <c r="O15" i="1442" s="1"/>
  <c r="O16" i="1442" s="1"/>
  <c r="O17" i="1442" s="1"/>
  <c r="O18" i="1442" s="1"/>
  <c r="O19" i="1442" s="1"/>
  <c r="O20" i="1442" s="1"/>
  <c r="O21" i="1442" s="1"/>
  <c r="O22" i="1442" s="1"/>
  <c r="O23" i="1442" s="1"/>
  <c r="O24" i="1442" s="1"/>
  <c r="O25" i="1442" s="1"/>
  <c r="O26" i="1442" s="1"/>
  <c r="O27" i="1442" s="1"/>
  <c r="O28" i="1442" s="1"/>
  <c r="O29" i="1442" s="1"/>
  <c r="O30" i="1442" s="1"/>
  <c r="O31" i="1442" s="1"/>
  <c r="O32" i="1442" s="1"/>
  <c r="O33" i="1442" s="1"/>
  <c r="O34" i="1442" s="1"/>
  <c r="O35" i="1442" s="1"/>
  <c r="O36" i="1442" s="1"/>
  <c r="O37" i="1442" s="1"/>
  <c r="O38" i="1442" s="1"/>
  <c r="C32" i="1442"/>
  <c r="L3" i="1441" l="1"/>
  <c r="L4" i="1441" s="1"/>
  <c r="O8" i="1441" s="1"/>
  <c r="O11" i="1441" s="1"/>
  <c r="O14" i="1441" s="1"/>
  <c r="O15" i="1441" s="1"/>
  <c r="O16" i="1441" s="1"/>
  <c r="O17" i="1441" s="1"/>
  <c r="O18" i="1441" s="1"/>
  <c r="O19" i="1441" s="1"/>
  <c r="O20" i="1441" s="1"/>
  <c r="O21" i="1441" s="1"/>
  <c r="O22" i="1441" s="1"/>
  <c r="O23" i="1441" s="1"/>
  <c r="O24" i="1441" s="1"/>
  <c r="O25" i="1441" s="1"/>
  <c r="O26" i="1441" s="1"/>
  <c r="O27" i="1441" s="1"/>
  <c r="O28" i="1441" s="1"/>
  <c r="O29" i="1441" s="1"/>
  <c r="O30" i="1441" s="1"/>
  <c r="O31" i="1441" s="1"/>
  <c r="O32" i="1441" s="1"/>
  <c r="O33" i="1441" s="1"/>
  <c r="O34" i="1441" s="1"/>
  <c r="O35" i="1441" s="1"/>
  <c r="O36" i="1441" s="1"/>
  <c r="O37" i="1441" s="1"/>
  <c r="O38" i="1441" s="1"/>
  <c r="E31" i="1441"/>
  <c r="E32" i="1441" s="1"/>
  <c r="C31" i="1441"/>
  <c r="C32" i="1441" s="1"/>
  <c r="B24" i="1071" l="1"/>
  <c r="F24" i="1071" s="1"/>
  <c r="H30" i="1071"/>
  <c r="G30" i="1071"/>
  <c r="F23" i="1071"/>
  <c r="E23" i="1071"/>
  <c r="D23" i="1071"/>
  <c r="C23" i="1071"/>
  <c r="F22" i="1071"/>
  <c r="E22" i="1071"/>
  <c r="D22" i="1071"/>
  <c r="C22" i="1071"/>
  <c r="F21" i="1071"/>
  <c r="E21" i="1071"/>
  <c r="D21" i="1071"/>
  <c r="C21" i="1071"/>
  <c r="F20" i="1071"/>
  <c r="E20" i="1071"/>
  <c r="D20" i="1071"/>
  <c r="C20" i="1071"/>
  <c r="F19" i="1071"/>
  <c r="E19" i="1071"/>
  <c r="D19" i="1071"/>
  <c r="C19" i="1071"/>
  <c r="F18" i="1071"/>
  <c r="E18" i="1071"/>
  <c r="D18" i="1071"/>
  <c r="C18" i="1071"/>
  <c r="F17" i="1071"/>
  <c r="E17" i="1071"/>
  <c r="D17" i="1071"/>
  <c r="C17" i="1071"/>
  <c r="F16" i="1071"/>
  <c r="E16" i="1071"/>
  <c r="D16" i="1071"/>
  <c r="C16" i="1071"/>
  <c r="L15" i="1071"/>
  <c r="F15" i="1071"/>
  <c r="E15" i="1071"/>
  <c r="D15" i="1071"/>
  <c r="C15" i="1071"/>
  <c r="L14" i="1071"/>
  <c r="F14" i="1071"/>
  <c r="E14" i="1071"/>
  <c r="D14" i="1071"/>
  <c r="C14" i="1071"/>
  <c r="F13" i="1071"/>
  <c r="E13" i="1071"/>
  <c r="D13" i="1071"/>
  <c r="C13" i="1071"/>
  <c r="F12" i="1071"/>
  <c r="E12" i="1071"/>
  <c r="D12" i="1071"/>
  <c r="C12" i="1071"/>
  <c r="F11" i="1071"/>
  <c r="E11" i="1071"/>
  <c r="D11" i="1071"/>
  <c r="C11" i="1071"/>
  <c r="F10" i="1071"/>
  <c r="E10" i="1071"/>
  <c r="D10" i="1071"/>
  <c r="C10" i="1071"/>
  <c r="N9" i="1071"/>
  <c r="M9" i="1071"/>
  <c r="L9" i="1071"/>
  <c r="F9" i="1071"/>
  <c r="E9" i="1071"/>
  <c r="D9" i="1071"/>
  <c r="C9" i="1071"/>
  <c r="N8" i="1071"/>
  <c r="M8" i="1071"/>
  <c r="L8" i="1071"/>
  <c r="F8" i="1071"/>
  <c r="E8" i="1071"/>
  <c r="D8" i="1071"/>
  <c r="C8" i="1071"/>
  <c r="N7" i="1071"/>
  <c r="M7" i="1071"/>
  <c r="L7" i="1071"/>
  <c r="F7" i="1071"/>
  <c r="E7" i="1071"/>
  <c r="D7" i="1071"/>
  <c r="C7" i="1071"/>
  <c r="N6" i="1071"/>
  <c r="M6" i="1071"/>
  <c r="L6" i="1071"/>
  <c r="F6" i="1071"/>
  <c r="E6" i="1071"/>
  <c r="D6" i="1071"/>
  <c r="C6" i="1071"/>
  <c r="J4" i="1071"/>
  <c r="J5" i="1071" s="1"/>
  <c r="B26" i="1071" s="1"/>
  <c r="E26" i="1071" s="1"/>
  <c r="C24" i="1071" l="1"/>
  <c r="D24" i="1071"/>
  <c r="E24" i="1071"/>
  <c r="D26" i="1071"/>
  <c r="C26" i="1071"/>
  <c r="F26" i="1071"/>
  <c r="B29" i="1071"/>
  <c r="B27" i="1071"/>
  <c r="B25" i="1071"/>
  <c r="B28" i="1071"/>
  <c r="D29" i="1071" l="1"/>
  <c r="C29" i="1071"/>
  <c r="E29" i="1071"/>
  <c r="F29" i="1071"/>
  <c r="D25" i="1071"/>
  <c r="C25" i="1071"/>
  <c r="E25" i="1071"/>
  <c r="F25" i="1071"/>
  <c r="D28" i="1071"/>
  <c r="C28" i="1071"/>
  <c r="F28" i="1071"/>
  <c r="E28" i="1071"/>
  <c r="D27" i="1071"/>
  <c r="C27" i="1071"/>
  <c r="E27" i="1071"/>
  <c r="F27" i="1071"/>
  <c r="B30" i="1071"/>
  <c r="D30" i="1071" l="1"/>
  <c r="S5" i="1071" s="1"/>
  <c r="S6" i="1071" s="1"/>
  <c r="F30" i="1071"/>
  <c r="E30" i="1071"/>
  <c r="C30" i="1071"/>
  <c r="F31" i="1071"/>
  <c r="E31" i="1071"/>
  <c r="D31" i="1071"/>
  <c r="C31" i="1071"/>
  <c r="D32" i="1071" l="1"/>
  <c r="E32" i="1071"/>
  <c r="F32" i="1071"/>
  <c r="C32" i="1071"/>
  <c r="P3" i="1071"/>
  <c r="P4" i="1071" s="1"/>
  <c r="S8" i="1071" s="1"/>
  <c r="S11" i="1071" s="1"/>
  <c r="S14" i="1071" s="1"/>
  <c r="S15" i="1071" s="1"/>
  <c r="S16" i="1071" s="1"/>
  <c r="S17" i="1071" s="1"/>
  <c r="S18" i="1071" s="1"/>
  <c r="S19" i="1071" s="1"/>
  <c r="S20" i="1071" s="1"/>
  <c r="S21" i="1071" s="1"/>
  <c r="S22" i="1071" s="1"/>
  <c r="S23" i="1071" s="1"/>
  <c r="S24" i="1071" s="1"/>
  <c r="S25" i="1071" s="1"/>
  <c r="S26" i="1071" s="1"/>
  <c r="S27" i="1071" s="1"/>
  <c r="S28" i="1071" s="1"/>
  <c r="S29" i="1071" s="1"/>
  <c r="S30" i="1071" s="1"/>
  <c r="S31" i="1071" s="1"/>
  <c r="S32" i="1071" s="1"/>
  <c r="S33" i="1071" s="1"/>
  <c r="S34" i="1071" s="1"/>
  <c r="S35" i="1071" s="1"/>
  <c r="S36" i="1071" s="1"/>
  <c r="S37" i="1071" s="1"/>
  <c r="S38" i="1071" s="1"/>
  <c r="F25" i="1055" l="1"/>
  <c r="E25" i="1055"/>
  <c r="D25" i="1055"/>
  <c r="C25" i="1055"/>
  <c r="F24" i="1055"/>
  <c r="E24" i="1055"/>
  <c r="D24" i="1055"/>
  <c r="C24" i="1055"/>
  <c r="J4" i="1055"/>
  <c r="J5" i="1055" s="1"/>
  <c r="H30" i="1055"/>
  <c r="G30" i="1055"/>
  <c r="F23" i="1055"/>
  <c r="E23" i="1055"/>
  <c r="D23" i="1055"/>
  <c r="C23" i="1055"/>
  <c r="F22" i="1055"/>
  <c r="E22" i="1055"/>
  <c r="D22" i="1055"/>
  <c r="C22" i="1055"/>
  <c r="F21" i="1055"/>
  <c r="E21" i="1055"/>
  <c r="D21" i="1055"/>
  <c r="C21" i="1055"/>
  <c r="F20" i="1055"/>
  <c r="E20" i="1055"/>
  <c r="D20" i="1055"/>
  <c r="C20" i="1055"/>
  <c r="F19" i="1055"/>
  <c r="E19" i="1055"/>
  <c r="D19" i="1055"/>
  <c r="C19" i="1055"/>
  <c r="F18" i="1055"/>
  <c r="E18" i="1055"/>
  <c r="D18" i="1055"/>
  <c r="C18" i="1055"/>
  <c r="F17" i="1055"/>
  <c r="E17" i="1055"/>
  <c r="D17" i="1055"/>
  <c r="C17" i="1055"/>
  <c r="F16" i="1055"/>
  <c r="E16" i="1055"/>
  <c r="D16" i="1055"/>
  <c r="C16" i="1055"/>
  <c r="F15" i="1055"/>
  <c r="E15" i="1055"/>
  <c r="D15" i="1055"/>
  <c r="C15" i="1055"/>
  <c r="F14" i="1055"/>
  <c r="E14" i="1055"/>
  <c r="D14" i="1055"/>
  <c r="C14" i="1055"/>
  <c r="F13" i="1055"/>
  <c r="E13" i="1055"/>
  <c r="D13" i="1055"/>
  <c r="C13" i="1055"/>
  <c r="F12" i="1055"/>
  <c r="E12" i="1055"/>
  <c r="D12" i="1055"/>
  <c r="C12" i="1055"/>
  <c r="F11" i="1055"/>
  <c r="E11" i="1055"/>
  <c r="D11" i="1055"/>
  <c r="C11" i="1055"/>
  <c r="F10" i="1055"/>
  <c r="E10" i="1055"/>
  <c r="D10" i="1055"/>
  <c r="C10" i="1055"/>
  <c r="F9" i="1055"/>
  <c r="E9" i="1055"/>
  <c r="D9" i="1055"/>
  <c r="C9" i="1055"/>
  <c r="F8" i="1055"/>
  <c r="E8" i="1055"/>
  <c r="D8" i="1055"/>
  <c r="C8" i="1055"/>
  <c r="F7" i="1055"/>
  <c r="E7" i="1055"/>
  <c r="D7" i="1055"/>
  <c r="C7" i="1055"/>
  <c r="F6" i="1055"/>
  <c r="E6" i="1055"/>
  <c r="D6" i="1055"/>
  <c r="C6" i="1055"/>
  <c r="F25" i="1047"/>
  <c r="E25" i="1047"/>
  <c r="D25" i="1047"/>
  <c r="C25" i="1047"/>
  <c r="F24" i="1047"/>
  <c r="E24" i="1047"/>
  <c r="D24" i="1047"/>
  <c r="C24" i="1047"/>
  <c r="H30" i="1047"/>
  <c r="G30" i="1047"/>
  <c r="F23" i="1047"/>
  <c r="E23" i="1047"/>
  <c r="D23" i="1047"/>
  <c r="C23" i="1047"/>
  <c r="F22" i="1047"/>
  <c r="E22" i="1047"/>
  <c r="D22" i="1047"/>
  <c r="C22" i="1047"/>
  <c r="F21" i="1047"/>
  <c r="E21" i="1047"/>
  <c r="D21" i="1047"/>
  <c r="C21" i="1047"/>
  <c r="F20" i="1047"/>
  <c r="E20" i="1047"/>
  <c r="D20" i="1047"/>
  <c r="C20" i="1047"/>
  <c r="F19" i="1047"/>
  <c r="E19" i="1047"/>
  <c r="D19" i="1047"/>
  <c r="C19" i="1047"/>
  <c r="F18" i="1047"/>
  <c r="E18" i="1047"/>
  <c r="D18" i="1047"/>
  <c r="C18" i="1047"/>
  <c r="F17" i="1047"/>
  <c r="E17" i="1047"/>
  <c r="D17" i="1047"/>
  <c r="C17" i="1047"/>
  <c r="F16" i="1047"/>
  <c r="E16" i="1047"/>
  <c r="D16" i="1047"/>
  <c r="C16" i="1047"/>
  <c r="F15" i="1047"/>
  <c r="E15" i="1047"/>
  <c r="D15" i="1047"/>
  <c r="C15" i="1047"/>
  <c r="F14" i="1047"/>
  <c r="E14" i="1047"/>
  <c r="D14" i="1047"/>
  <c r="C14" i="1047"/>
  <c r="F13" i="1047"/>
  <c r="E13" i="1047"/>
  <c r="D13" i="1047"/>
  <c r="C13" i="1047"/>
  <c r="F12" i="1047"/>
  <c r="E12" i="1047"/>
  <c r="D12" i="1047"/>
  <c r="C12" i="1047"/>
  <c r="F11" i="1047"/>
  <c r="E11" i="1047"/>
  <c r="D11" i="1047"/>
  <c r="C11" i="1047"/>
  <c r="F10" i="1047"/>
  <c r="E10" i="1047"/>
  <c r="D10" i="1047"/>
  <c r="C10" i="1047"/>
  <c r="F9" i="1047"/>
  <c r="E9" i="1047"/>
  <c r="D9" i="1047"/>
  <c r="C9" i="1047"/>
  <c r="F8" i="1047"/>
  <c r="E8" i="1047"/>
  <c r="D8" i="1047"/>
  <c r="C8" i="1047"/>
  <c r="F7" i="1047"/>
  <c r="E7" i="1047"/>
  <c r="D7" i="1047"/>
  <c r="C7" i="1047"/>
  <c r="F6" i="1047"/>
  <c r="E6" i="1047"/>
  <c r="D6" i="1047"/>
  <c r="C6" i="1047"/>
  <c r="J4" i="1047"/>
  <c r="J5" i="1047" s="1"/>
  <c r="C36" i="1045"/>
  <c r="E25" i="1045"/>
  <c r="C25" i="1045"/>
  <c r="E24" i="1045"/>
  <c r="C24" i="1045"/>
  <c r="B24" i="1045"/>
  <c r="H30" i="1045"/>
  <c r="G30" i="1045"/>
  <c r="E23" i="1045"/>
  <c r="C23" i="1045"/>
  <c r="F22" i="1045"/>
  <c r="E22" i="1045"/>
  <c r="D22" i="1045"/>
  <c r="C22" i="1045"/>
  <c r="F21" i="1045"/>
  <c r="E21" i="1045"/>
  <c r="D21" i="1045"/>
  <c r="C21" i="1045"/>
  <c r="F20" i="1045"/>
  <c r="E20" i="1045"/>
  <c r="D20" i="1045"/>
  <c r="C20" i="1045"/>
  <c r="F19" i="1045"/>
  <c r="E19" i="1045"/>
  <c r="D19" i="1045"/>
  <c r="C19" i="1045"/>
  <c r="F18" i="1045"/>
  <c r="E18" i="1045"/>
  <c r="D18" i="1045"/>
  <c r="C18" i="1045"/>
  <c r="F17" i="1045"/>
  <c r="E17" i="1045"/>
  <c r="D17" i="1045"/>
  <c r="C17" i="1045"/>
  <c r="F16" i="1045"/>
  <c r="E16" i="1045"/>
  <c r="D16" i="1045"/>
  <c r="C16" i="1045"/>
  <c r="F15" i="1045"/>
  <c r="E15" i="1045"/>
  <c r="D15" i="1045"/>
  <c r="C15" i="1045"/>
  <c r="F14" i="1045"/>
  <c r="E14" i="1045"/>
  <c r="D14" i="1045"/>
  <c r="C14" i="1045"/>
  <c r="F13" i="1045"/>
  <c r="E13" i="1045"/>
  <c r="D13" i="1045"/>
  <c r="C13" i="1045"/>
  <c r="F12" i="1045"/>
  <c r="E12" i="1045"/>
  <c r="D12" i="1045"/>
  <c r="C12" i="1045"/>
  <c r="F11" i="1045"/>
  <c r="E11" i="1045"/>
  <c r="D11" i="1045"/>
  <c r="C11" i="1045"/>
  <c r="F10" i="1045"/>
  <c r="E10" i="1045"/>
  <c r="D10" i="1045"/>
  <c r="C10" i="1045"/>
  <c r="F9" i="1045"/>
  <c r="E9" i="1045"/>
  <c r="D9" i="1045"/>
  <c r="C9" i="1045"/>
  <c r="F8" i="1045"/>
  <c r="E8" i="1045"/>
  <c r="D8" i="1045"/>
  <c r="C8" i="1045"/>
  <c r="F7" i="1045"/>
  <c r="E7" i="1045"/>
  <c r="D7" i="1045"/>
  <c r="C7" i="1045"/>
  <c r="F6" i="1045"/>
  <c r="E6" i="1045"/>
  <c r="D6" i="1045"/>
  <c r="C6" i="1045"/>
  <c r="J4" i="1045"/>
  <c r="J5" i="1045" s="1"/>
  <c r="B29" i="1055" l="1"/>
  <c r="B27" i="1055"/>
  <c r="B28" i="1055"/>
  <c r="B28" i="1047"/>
  <c r="B29" i="1047"/>
  <c r="B27" i="1047"/>
  <c r="B28" i="1045"/>
  <c r="B29" i="1045"/>
  <c r="B27" i="1045"/>
  <c r="B30" i="1055" l="1"/>
  <c r="F31" i="1055" s="1"/>
  <c r="D28" i="1055"/>
  <c r="C28" i="1055"/>
  <c r="F28" i="1055"/>
  <c r="E28" i="1055"/>
  <c r="F27" i="1055"/>
  <c r="E27" i="1055"/>
  <c r="D27" i="1055"/>
  <c r="C27" i="1055"/>
  <c r="F29" i="1055"/>
  <c r="E29" i="1055"/>
  <c r="D29" i="1055"/>
  <c r="C29" i="1055"/>
  <c r="E29" i="1047"/>
  <c r="C29" i="1047"/>
  <c r="B30" i="1047"/>
  <c r="C31" i="1047" s="1"/>
  <c r="E31" i="1047" s="1"/>
  <c r="C28" i="1047"/>
  <c r="E28" i="1047"/>
  <c r="E27" i="1047"/>
  <c r="C27" i="1047"/>
  <c r="E27" i="1045"/>
  <c r="C27" i="1045"/>
  <c r="E29" i="1045"/>
  <c r="C29" i="1045"/>
  <c r="B30" i="1045"/>
  <c r="C31" i="1045" s="1"/>
  <c r="E31" i="1045" s="1"/>
  <c r="C28" i="1045"/>
  <c r="E28" i="1045"/>
  <c r="E30" i="1055" l="1"/>
  <c r="C30" i="1055"/>
  <c r="F30" i="1055"/>
  <c r="F32" i="1055" s="1"/>
  <c r="D31" i="1055"/>
  <c r="C31" i="1055"/>
  <c r="E31" i="1055" s="1"/>
  <c r="D30" i="1055"/>
  <c r="C30" i="1047"/>
  <c r="D30" i="1047"/>
  <c r="F30" i="1047"/>
  <c r="F32" i="1047" s="1"/>
  <c r="E30" i="1047"/>
  <c r="E32" i="1047" s="1"/>
  <c r="F30" i="1045"/>
  <c r="F32" i="1045" s="1"/>
  <c r="E30" i="1045"/>
  <c r="E32" i="1045" s="1"/>
  <c r="C30" i="1045"/>
  <c r="D30" i="1045"/>
  <c r="D32" i="1055" l="1"/>
  <c r="O5" i="1055"/>
  <c r="O6" i="1055" s="1"/>
  <c r="C32" i="1055"/>
  <c r="L3" i="1055"/>
  <c r="L4" i="1055" s="1"/>
  <c r="O8" i="1055" s="1"/>
  <c r="O11" i="1055" s="1"/>
  <c r="E32" i="1055"/>
  <c r="D32" i="1047"/>
  <c r="O5" i="1047"/>
  <c r="O6" i="1047" s="1"/>
  <c r="C32" i="1047"/>
  <c r="L3" i="1047"/>
  <c r="L4" i="1047" s="1"/>
  <c r="O8" i="1047" s="1"/>
  <c r="O11" i="1047" s="1"/>
  <c r="D32" i="1045"/>
  <c r="O5" i="1045"/>
  <c r="O6" i="1045" s="1"/>
  <c r="C32" i="1045"/>
  <c r="L3" i="1045"/>
  <c r="L4" i="1045" s="1"/>
  <c r="O8" i="1045" s="1"/>
  <c r="O11" i="1045" s="1"/>
  <c r="O14" i="1055" l="1"/>
  <c r="O15" i="1055" s="1"/>
  <c r="O16" i="1055" s="1"/>
  <c r="O17" i="1055" s="1"/>
  <c r="O18" i="1055" s="1"/>
  <c r="O19" i="1055" s="1"/>
  <c r="O20" i="1055" s="1"/>
  <c r="O21" i="1055" s="1"/>
  <c r="O22" i="1055" s="1"/>
  <c r="O23" i="1055" s="1"/>
  <c r="O24" i="1055" s="1"/>
  <c r="O25" i="1055" s="1"/>
  <c r="O26" i="1055" s="1"/>
  <c r="O27" i="1055" s="1"/>
  <c r="O28" i="1055" s="1"/>
  <c r="O29" i="1055" s="1"/>
  <c r="O30" i="1055" s="1"/>
  <c r="O31" i="1055" s="1"/>
  <c r="O32" i="1055" s="1"/>
  <c r="O33" i="1055" s="1"/>
  <c r="O34" i="1055" s="1"/>
  <c r="O35" i="1055" s="1"/>
  <c r="O36" i="1055" s="1"/>
  <c r="O37" i="1055" s="1"/>
  <c r="O38" i="1055" s="1"/>
  <c r="O14" i="1047"/>
  <c r="O15" i="1047" s="1"/>
  <c r="O16" i="1047" s="1"/>
  <c r="O17" i="1047" s="1"/>
  <c r="O18" i="1047" s="1"/>
  <c r="O19" i="1047" s="1"/>
  <c r="O20" i="1047" s="1"/>
  <c r="O21" i="1047" s="1"/>
  <c r="O22" i="1047" s="1"/>
  <c r="O23" i="1047" s="1"/>
  <c r="O24" i="1047" s="1"/>
  <c r="O25" i="1047" s="1"/>
  <c r="O26" i="1047" s="1"/>
  <c r="O27" i="1047" s="1"/>
  <c r="O28" i="1047" s="1"/>
  <c r="O29" i="1047" s="1"/>
  <c r="O30" i="1047" s="1"/>
  <c r="O31" i="1047" s="1"/>
  <c r="O32" i="1047" s="1"/>
  <c r="O33" i="1047" s="1"/>
  <c r="O34" i="1047" s="1"/>
  <c r="O35" i="1047" s="1"/>
  <c r="O36" i="1047" s="1"/>
  <c r="O37" i="1047" s="1"/>
  <c r="O38" i="1047" s="1"/>
  <c r="O14" i="1045"/>
  <c r="O15" i="1045" s="1"/>
  <c r="O16" i="1045" s="1"/>
  <c r="O17" i="1045" s="1"/>
  <c r="O18" i="1045" s="1"/>
  <c r="O19" i="1045" s="1"/>
  <c r="O20" i="1045" s="1"/>
  <c r="O21" i="1045" s="1"/>
  <c r="O22" i="1045" s="1"/>
  <c r="O23" i="1045" s="1"/>
  <c r="O24" i="1045" s="1"/>
  <c r="O25" i="1045" s="1"/>
  <c r="O26" i="1045" s="1"/>
  <c r="O27" i="1045" s="1"/>
  <c r="O28" i="1045" s="1"/>
  <c r="O29" i="1045" s="1"/>
  <c r="O30" i="1045" s="1"/>
  <c r="O31" i="1045" s="1"/>
  <c r="O32" i="1045" s="1"/>
  <c r="O33" i="1045" s="1"/>
  <c r="O34" i="1045" s="1"/>
  <c r="O35" i="1045" s="1"/>
  <c r="O36" i="1045" s="1"/>
  <c r="O37" i="1045" s="1"/>
  <c r="O38" i="1045" s="1"/>
  <c r="J4" i="1005" l="1"/>
  <c r="J5" i="1005" s="1"/>
  <c r="H30" i="1005"/>
  <c r="G30" i="1005"/>
  <c r="F23" i="1005"/>
  <c r="E23" i="1005"/>
  <c r="D23" i="1005"/>
  <c r="C23" i="1005"/>
  <c r="F22" i="1005"/>
  <c r="E22" i="1005"/>
  <c r="D22" i="1005"/>
  <c r="C22" i="1005"/>
  <c r="F21" i="1005"/>
  <c r="E21" i="1005"/>
  <c r="D21" i="1005"/>
  <c r="C21" i="1005"/>
  <c r="F20" i="1005"/>
  <c r="E20" i="1005"/>
  <c r="D20" i="1005"/>
  <c r="C20" i="1005"/>
  <c r="F19" i="1005"/>
  <c r="E19" i="1005"/>
  <c r="D19" i="1005"/>
  <c r="C19" i="1005"/>
  <c r="F18" i="1005"/>
  <c r="E18" i="1005"/>
  <c r="D18" i="1005"/>
  <c r="C18" i="1005"/>
  <c r="F17" i="1005"/>
  <c r="E17" i="1005"/>
  <c r="D17" i="1005"/>
  <c r="C17" i="1005"/>
  <c r="F16" i="1005"/>
  <c r="E16" i="1005"/>
  <c r="D16" i="1005"/>
  <c r="C16" i="1005"/>
  <c r="F15" i="1005"/>
  <c r="E15" i="1005"/>
  <c r="D15" i="1005"/>
  <c r="C15" i="1005"/>
  <c r="F14" i="1005"/>
  <c r="E14" i="1005"/>
  <c r="D14" i="1005"/>
  <c r="C14" i="1005"/>
  <c r="F13" i="1005"/>
  <c r="E13" i="1005"/>
  <c r="D13" i="1005"/>
  <c r="C13" i="1005"/>
  <c r="F12" i="1005"/>
  <c r="E12" i="1005"/>
  <c r="D12" i="1005"/>
  <c r="C12" i="1005"/>
  <c r="F11" i="1005"/>
  <c r="E11" i="1005"/>
  <c r="D11" i="1005"/>
  <c r="C11" i="1005"/>
  <c r="F10" i="1005"/>
  <c r="E10" i="1005"/>
  <c r="D10" i="1005"/>
  <c r="C10" i="1005"/>
  <c r="F9" i="1005"/>
  <c r="E9" i="1005"/>
  <c r="D9" i="1005"/>
  <c r="C9" i="1005"/>
  <c r="F8" i="1005"/>
  <c r="E8" i="1005"/>
  <c r="D8" i="1005"/>
  <c r="C8" i="1005"/>
  <c r="F7" i="1005"/>
  <c r="E7" i="1005"/>
  <c r="D7" i="1005"/>
  <c r="C7" i="1005"/>
  <c r="F6" i="1005"/>
  <c r="E6" i="1005"/>
  <c r="D6" i="1005"/>
  <c r="C6" i="1005"/>
  <c r="B26" i="1005" l="1"/>
  <c r="B29" i="1005"/>
  <c r="B27" i="1005"/>
  <c r="B28" i="1005"/>
  <c r="B25" i="1005"/>
  <c r="E27" i="1005" l="1"/>
  <c r="F27" i="1005"/>
  <c r="D27" i="1005"/>
  <c r="E28" i="1005"/>
  <c r="D28" i="1005"/>
  <c r="F28" i="1005"/>
  <c r="C28" i="1005"/>
  <c r="C27" i="1005"/>
  <c r="C29" i="1005"/>
  <c r="F29" i="1005"/>
  <c r="E29" i="1005"/>
  <c r="D29" i="1005"/>
  <c r="B30" i="1005"/>
  <c r="E25" i="1005"/>
  <c r="C25" i="1005"/>
  <c r="E26" i="1005"/>
  <c r="D26" i="1005"/>
  <c r="C26" i="1005"/>
  <c r="J4" i="990"/>
  <c r="J5" i="990" s="1"/>
  <c r="H30" i="990"/>
  <c r="G30" i="990"/>
  <c r="F23" i="990"/>
  <c r="E23" i="990"/>
  <c r="D23" i="990"/>
  <c r="C23" i="990"/>
  <c r="F22" i="990"/>
  <c r="E22" i="990"/>
  <c r="D22" i="990"/>
  <c r="C22" i="990"/>
  <c r="F21" i="990"/>
  <c r="E21" i="990"/>
  <c r="D21" i="990"/>
  <c r="C21" i="990"/>
  <c r="F20" i="990"/>
  <c r="E20" i="990"/>
  <c r="D20" i="990"/>
  <c r="C20" i="990"/>
  <c r="F19" i="990"/>
  <c r="E19" i="990"/>
  <c r="D19" i="990"/>
  <c r="C19" i="990"/>
  <c r="F18" i="990"/>
  <c r="E18" i="990"/>
  <c r="D18" i="990"/>
  <c r="C18" i="990"/>
  <c r="F17" i="990"/>
  <c r="E17" i="990"/>
  <c r="D17" i="990"/>
  <c r="C17" i="990"/>
  <c r="F16" i="990"/>
  <c r="E16" i="990"/>
  <c r="D16" i="990"/>
  <c r="C16" i="990"/>
  <c r="F15" i="990"/>
  <c r="E15" i="990"/>
  <c r="D15" i="990"/>
  <c r="C15" i="990"/>
  <c r="F14" i="990"/>
  <c r="E14" i="990"/>
  <c r="D14" i="990"/>
  <c r="C14" i="990"/>
  <c r="F13" i="990"/>
  <c r="E13" i="990"/>
  <c r="D13" i="990"/>
  <c r="C13" i="990"/>
  <c r="F12" i="990"/>
  <c r="E12" i="990"/>
  <c r="D12" i="990"/>
  <c r="C12" i="990"/>
  <c r="F11" i="990"/>
  <c r="E11" i="990"/>
  <c r="D11" i="990"/>
  <c r="C11" i="990"/>
  <c r="F10" i="990"/>
  <c r="E10" i="990"/>
  <c r="D10" i="990"/>
  <c r="C10" i="990"/>
  <c r="F9" i="990"/>
  <c r="E9" i="990"/>
  <c r="D9" i="990"/>
  <c r="C9" i="990"/>
  <c r="F8" i="990"/>
  <c r="E8" i="990"/>
  <c r="D8" i="990"/>
  <c r="C8" i="990"/>
  <c r="F7" i="990"/>
  <c r="E7" i="990"/>
  <c r="D7" i="990"/>
  <c r="C7" i="990"/>
  <c r="F6" i="990"/>
  <c r="E6" i="990"/>
  <c r="D6" i="990"/>
  <c r="C6" i="990"/>
  <c r="J4" i="988"/>
  <c r="J5" i="988" s="1"/>
  <c r="B29" i="988" s="1"/>
  <c r="H30" i="988"/>
  <c r="G30" i="988"/>
  <c r="F23" i="988"/>
  <c r="E23" i="988"/>
  <c r="D23" i="988"/>
  <c r="C23" i="988"/>
  <c r="F22" i="988"/>
  <c r="E22" i="988"/>
  <c r="D22" i="988"/>
  <c r="C22" i="988"/>
  <c r="F21" i="988"/>
  <c r="E21" i="988"/>
  <c r="D21" i="988"/>
  <c r="C21" i="988"/>
  <c r="F20" i="988"/>
  <c r="E20" i="988"/>
  <c r="D20" i="988"/>
  <c r="C20" i="988"/>
  <c r="F19" i="988"/>
  <c r="E19" i="988"/>
  <c r="D19" i="988"/>
  <c r="C19" i="988"/>
  <c r="F18" i="988"/>
  <c r="E18" i="988"/>
  <c r="D18" i="988"/>
  <c r="C18" i="988"/>
  <c r="F17" i="988"/>
  <c r="E17" i="988"/>
  <c r="D17" i="988"/>
  <c r="C17" i="988"/>
  <c r="F16" i="988"/>
  <c r="E16" i="988"/>
  <c r="D16" i="988"/>
  <c r="C16" i="988"/>
  <c r="F15" i="988"/>
  <c r="E15" i="988"/>
  <c r="D15" i="988"/>
  <c r="C15" i="988"/>
  <c r="F14" i="988"/>
  <c r="E14" i="988"/>
  <c r="D14" i="988"/>
  <c r="C14" i="988"/>
  <c r="F13" i="988"/>
  <c r="E13" i="988"/>
  <c r="D13" i="988"/>
  <c r="C13" i="988"/>
  <c r="F12" i="988"/>
  <c r="E12" i="988"/>
  <c r="D12" i="988"/>
  <c r="C12" i="988"/>
  <c r="F11" i="988"/>
  <c r="E11" i="988"/>
  <c r="D11" i="988"/>
  <c r="C11" i="988"/>
  <c r="F10" i="988"/>
  <c r="E10" i="988"/>
  <c r="D10" i="988"/>
  <c r="C10" i="988"/>
  <c r="F9" i="988"/>
  <c r="E9" i="988"/>
  <c r="D9" i="988"/>
  <c r="C9" i="988"/>
  <c r="F8" i="988"/>
  <c r="E8" i="988"/>
  <c r="D8" i="988"/>
  <c r="C8" i="988"/>
  <c r="F7" i="988"/>
  <c r="E7" i="988"/>
  <c r="D7" i="988"/>
  <c r="C7" i="988"/>
  <c r="F6" i="988"/>
  <c r="E6" i="988"/>
  <c r="D6" i="988"/>
  <c r="C6" i="988"/>
  <c r="H30" i="987"/>
  <c r="G30" i="987"/>
  <c r="F23" i="987"/>
  <c r="E23" i="987"/>
  <c r="D23" i="987"/>
  <c r="C23" i="987"/>
  <c r="F22" i="987"/>
  <c r="E22" i="987"/>
  <c r="D22" i="987"/>
  <c r="C22" i="987"/>
  <c r="F21" i="987"/>
  <c r="E21" i="987"/>
  <c r="D21" i="987"/>
  <c r="C21" i="987"/>
  <c r="F20" i="987"/>
  <c r="E20" i="987"/>
  <c r="D20" i="987"/>
  <c r="C20" i="987"/>
  <c r="F19" i="987"/>
  <c r="E19" i="987"/>
  <c r="D19" i="987"/>
  <c r="C19" i="987"/>
  <c r="F18" i="987"/>
  <c r="E18" i="987"/>
  <c r="D18" i="987"/>
  <c r="C18" i="987"/>
  <c r="F17" i="987"/>
  <c r="E17" i="987"/>
  <c r="D17" i="987"/>
  <c r="C17" i="987"/>
  <c r="F16" i="987"/>
  <c r="E16" i="987"/>
  <c r="D16" i="987"/>
  <c r="C16" i="987"/>
  <c r="F15" i="987"/>
  <c r="E15" i="987"/>
  <c r="D15" i="987"/>
  <c r="C15" i="987"/>
  <c r="F14" i="987"/>
  <c r="E14" i="987"/>
  <c r="D14" i="987"/>
  <c r="C14" i="987"/>
  <c r="F13" i="987"/>
  <c r="E13" i="987"/>
  <c r="D13" i="987"/>
  <c r="C13" i="987"/>
  <c r="F12" i="987"/>
  <c r="E12" i="987"/>
  <c r="D12" i="987"/>
  <c r="C12" i="987"/>
  <c r="F11" i="987"/>
  <c r="E11" i="987"/>
  <c r="D11" i="987"/>
  <c r="C11" i="987"/>
  <c r="F10" i="987"/>
  <c r="E10" i="987"/>
  <c r="D10" i="987"/>
  <c r="C10" i="987"/>
  <c r="F9" i="987"/>
  <c r="E9" i="987"/>
  <c r="D9" i="987"/>
  <c r="C9" i="987"/>
  <c r="F8" i="987"/>
  <c r="E8" i="987"/>
  <c r="D8" i="987"/>
  <c r="C8" i="987"/>
  <c r="F7" i="987"/>
  <c r="E7" i="987"/>
  <c r="D7" i="987"/>
  <c r="C7" i="987"/>
  <c r="F6" i="987"/>
  <c r="E6" i="987"/>
  <c r="D6" i="987"/>
  <c r="C6" i="987"/>
  <c r="J4" i="987"/>
  <c r="J5" i="987" s="1"/>
  <c r="B25" i="987" s="1"/>
  <c r="F28" i="984"/>
  <c r="D28" i="984"/>
  <c r="F27" i="984"/>
  <c r="E27" i="984"/>
  <c r="D27" i="984"/>
  <c r="F29" i="984"/>
  <c r="E29" i="984"/>
  <c r="D29" i="984"/>
  <c r="E28" i="984"/>
  <c r="F26" i="984"/>
  <c r="E26" i="984"/>
  <c r="D26" i="984"/>
  <c r="J5" i="984"/>
  <c r="J3" i="984"/>
  <c r="H30" i="984"/>
  <c r="G30" i="984"/>
  <c r="F23" i="984"/>
  <c r="E23" i="984"/>
  <c r="D23" i="984"/>
  <c r="C23" i="984"/>
  <c r="F22" i="984"/>
  <c r="E22" i="984"/>
  <c r="D22" i="984"/>
  <c r="C22" i="984"/>
  <c r="F21" i="984"/>
  <c r="E21" i="984"/>
  <c r="D21" i="984"/>
  <c r="C21" i="984"/>
  <c r="F20" i="984"/>
  <c r="E20" i="984"/>
  <c r="D20" i="984"/>
  <c r="C20" i="984"/>
  <c r="F19" i="984"/>
  <c r="E19" i="984"/>
  <c r="D19" i="984"/>
  <c r="C19" i="984"/>
  <c r="F18" i="984"/>
  <c r="E18" i="984"/>
  <c r="D18" i="984"/>
  <c r="C18" i="984"/>
  <c r="F17" i="984"/>
  <c r="E17" i="984"/>
  <c r="D17" i="984"/>
  <c r="C17" i="984"/>
  <c r="F16" i="984"/>
  <c r="E16" i="984"/>
  <c r="D16" i="984"/>
  <c r="C16" i="984"/>
  <c r="F15" i="984"/>
  <c r="E15" i="984"/>
  <c r="D15" i="984"/>
  <c r="C15" i="984"/>
  <c r="F14" i="984"/>
  <c r="E14" i="984"/>
  <c r="D14" i="984"/>
  <c r="C14" i="984"/>
  <c r="F13" i="984"/>
  <c r="E13" i="984"/>
  <c r="D13" i="984"/>
  <c r="C13" i="984"/>
  <c r="F11" i="984"/>
  <c r="E11" i="984"/>
  <c r="D11" i="984"/>
  <c r="C11" i="984"/>
  <c r="F10" i="984"/>
  <c r="E10" i="984"/>
  <c r="D10" i="984"/>
  <c r="C10" i="984"/>
  <c r="F9" i="984"/>
  <c r="E9" i="984"/>
  <c r="D9" i="984"/>
  <c r="C9" i="984"/>
  <c r="F8" i="984"/>
  <c r="E8" i="984"/>
  <c r="D8" i="984"/>
  <c r="C8" i="984"/>
  <c r="F7" i="984"/>
  <c r="E7" i="984"/>
  <c r="D7" i="984"/>
  <c r="C7" i="984"/>
  <c r="F6" i="984"/>
  <c r="E6" i="984"/>
  <c r="D6" i="984"/>
  <c r="C6" i="984"/>
  <c r="F30" i="1005" l="1"/>
  <c r="C30" i="1005"/>
  <c r="D30" i="1005"/>
  <c r="D31" i="1005"/>
  <c r="F31" i="1005" s="1"/>
  <c r="C31" i="1005"/>
  <c r="E31" i="1005" s="1"/>
  <c r="E30" i="1005"/>
  <c r="B29" i="990"/>
  <c r="B27" i="990"/>
  <c r="B25" i="990"/>
  <c r="B28" i="990"/>
  <c r="B26" i="990"/>
  <c r="C29" i="988"/>
  <c r="F29" i="988"/>
  <c r="E29" i="988"/>
  <c r="D29" i="988"/>
  <c r="B26" i="988"/>
  <c r="B28" i="988"/>
  <c r="B25" i="988"/>
  <c r="B27" i="988"/>
  <c r="E25" i="987"/>
  <c r="D25" i="987"/>
  <c r="C25" i="987"/>
  <c r="F25" i="987"/>
  <c r="B28" i="987"/>
  <c r="B26" i="987"/>
  <c r="B27" i="987"/>
  <c r="B29" i="987"/>
  <c r="C28" i="984"/>
  <c r="F32" i="1005" l="1"/>
  <c r="C32" i="1005"/>
  <c r="E32" i="1005"/>
  <c r="D32" i="1005"/>
  <c r="O5" i="1005"/>
  <c r="O6" i="1005" s="1"/>
  <c r="L3" i="1005"/>
  <c r="L4" i="1005" s="1"/>
  <c r="O8" i="1005" s="1"/>
  <c r="O11" i="1005" s="1"/>
  <c r="F27" i="990"/>
  <c r="D27" i="990"/>
  <c r="E26" i="990"/>
  <c r="D26" i="990"/>
  <c r="C26" i="990"/>
  <c r="F26" i="990"/>
  <c r="E28" i="990"/>
  <c r="D28" i="990"/>
  <c r="C28" i="990"/>
  <c r="F28" i="990"/>
  <c r="C27" i="990"/>
  <c r="E27" i="990"/>
  <c r="C29" i="990"/>
  <c r="F29" i="990"/>
  <c r="E29" i="990"/>
  <c r="D29" i="990"/>
  <c r="C25" i="990"/>
  <c r="E25" i="990"/>
  <c r="B30" i="990"/>
  <c r="F27" i="988"/>
  <c r="D27" i="988"/>
  <c r="B30" i="987"/>
  <c r="C31" i="987" s="1"/>
  <c r="E31" i="987" s="1"/>
  <c r="C25" i="988"/>
  <c r="E25" i="988"/>
  <c r="B30" i="988"/>
  <c r="E28" i="988"/>
  <c r="D28" i="988"/>
  <c r="C28" i="988"/>
  <c r="F28" i="988"/>
  <c r="C27" i="988"/>
  <c r="E27" i="988"/>
  <c r="E26" i="988"/>
  <c r="D26" i="988"/>
  <c r="C26" i="988"/>
  <c r="F26" i="988"/>
  <c r="C27" i="987"/>
  <c r="D27" i="987"/>
  <c r="F27" i="987"/>
  <c r="E27" i="987"/>
  <c r="C26" i="987"/>
  <c r="E26" i="987"/>
  <c r="C29" i="987"/>
  <c r="F29" i="987"/>
  <c r="D29" i="987"/>
  <c r="E29" i="987"/>
  <c r="E28" i="987"/>
  <c r="D28" i="987"/>
  <c r="F28" i="987"/>
  <c r="C28" i="987"/>
  <c r="C26" i="984"/>
  <c r="B30" i="984"/>
  <c r="E25" i="984"/>
  <c r="C25" i="984"/>
  <c r="C29" i="984"/>
  <c r="C27" i="984"/>
  <c r="O14" i="1005" l="1"/>
  <c r="O15" i="1005" s="1"/>
  <c r="O16" i="1005" s="1"/>
  <c r="O17" i="1005" s="1"/>
  <c r="O18" i="1005" s="1"/>
  <c r="O19" i="1005" s="1"/>
  <c r="O20" i="1005" s="1"/>
  <c r="O21" i="1005" s="1"/>
  <c r="O22" i="1005" s="1"/>
  <c r="O23" i="1005" s="1"/>
  <c r="O24" i="1005" s="1"/>
  <c r="O25" i="1005" s="1"/>
  <c r="O26" i="1005" s="1"/>
  <c r="O27" i="1005" s="1"/>
  <c r="O28" i="1005" s="1"/>
  <c r="O29" i="1005" s="1"/>
  <c r="O30" i="1005" s="1"/>
  <c r="O31" i="1005" s="1"/>
  <c r="O32" i="1005" s="1"/>
  <c r="O33" i="1005" s="1"/>
  <c r="O34" i="1005" s="1"/>
  <c r="O35" i="1005" s="1"/>
  <c r="O36" i="1005" s="1"/>
  <c r="O37" i="1005" s="1"/>
  <c r="O38" i="1005" s="1"/>
  <c r="C30" i="990"/>
  <c r="F30" i="988"/>
  <c r="F30" i="990"/>
  <c r="D30" i="990"/>
  <c r="D31" i="990"/>
  <c r="F31" i="990" s="1"/>
  <c r="C31" i="990"/>
  <c r="E31" i="990" s="1"/>
  <c r="E30" i="990"/>
  <c r="D31" i="987"/>
  <c r="F31" i="987" s="1"/>
  <c r="D30" i="988"/>
  <c r="C30" i="988"/>
  <c r="D31" i="988"/>
  <c r="F31" i="988" s="1"/>
  <c r="C31" i="988"/>
  <c r="E31" i="988" s="1"/>
  <c r="C30" i="987"/>
  <c r="C32" i="987" s="1"/>
  <c r="E30" i="988"/>
  <c r="D30" i="987"/>
  <c r="E30" i="987"/>
  <c r="E32" i="987" s="1"/>
  <c r="F30" i="987"/>
  <c r="F30" i="984"/>
  <c r="C30" i="984"/>
  <c r="E30" i="984"/>
  <c r="D30" i="984"/>
  <c r="C31" i="984"/>
  <c r="E31" i="984" s="1"/>
  <c r="D31" i="984"/>
  <c r="F31" i="984" s="1"/>
  <c r="K4" i="980"/>
  <c r="K5" i="980" s="1"/>
  <c r="J5" i="980"/>
  <c r="J3" i="980"/>
  <c r="H30" i="980"/>
  <c r="G30" i="980"/>
  <c r="F23" i="980"/>
  <c r="E23" i="980"/>
  <c r="D23" i="980"/>
  <c r="C23" i="980"/>
  <c r="F22" i="980"/>
  <c r="E22" i="980"/>
  <c r="D22" i="980"/>
  <c r="C22" i="980"/>
  <c r="F21" i="980"/>
  <c r="E21" i="980"/>
  <c r="D21" i="980"/>
  <c r="C21" i="980"/>
  <c r="F20" i="980"/>
  <c r="E20" i="980"/>
  <c r="D20" i="980"/>
  <c r="C20" i="980"/>
  <c r="F19" i="980"/>
  <c r="E19" i="980"/>
  <c r="D19" i="980"/>
  <c r="C19" i="980"/>
  <c r="F18" i="980"/>
  <c r="E18" i="980"/>
  <c r="D18" i="980"/>
  <c r="C18" i="980"/>
  <c r="F17" i="980"/>
  <c r="E17" i="980"/>
  <c r="D17" i="980"/>
  <c r="C17" i="980"/>
  <c r="F16" i="980"/>
  <c r="E16" i="980"/>
  <c r="D16" i="980"/>
  <c r="C16" i="980"/>
  <c r="F15" i="980"/>
  <c r="E15" i="980"/>
  <c r="D15" i="980"/>
  <c r="C15" i="980"/>
  <c r="F14" i="980"/>
  <c r="E14" i="980"/>
  <c r="D14" i="980"/>
  <c r="C14" i="980"/>
  <c r="F13" i="980"/>
  <c r="E13" i="980"/>
  <c r="D13" i="980"/>
  <c r="C13" i="980"/>
  <c r="F12" i="980"/>
  <c r="E12" i="980"/>
  <c r="D12" i="980"/>
  <c r="C12" i="980"/>
  <c r="F11" i="980"/>
  <c r="E11" i="980"/>
  <c r="D11" i="980"/>
  <c r="C11" i="980"/>
  <c r="F10" i="980"/>
  <c r="E10" i="980"/>
  <c r="D10" i="980"/>
  <c r="C10" i="980"/>
  <c r="F9" i="980"/>
  <c r="E9" i="980"/>
  <c r="D9" i="980"/>
  <c r="C9" i="980"/>
  <c r="F8" i="980"/>
  <c r="E8" i="980"/>
  <c r="D8" i="980"/>
  <c r="C8" i="980"/>
  <c r="F7" i="980"/>
  <c r="E7" i="980"/>
  <c r="D7" i="980"/>
  <c r="C7" i="980"/>
  <c r="F6" i="980"/>
  <c r="E6" i="980"/>
  <c r="D6" i="980"/>
  <c r="C6" i="980"/>
  <c r="J4" i="974"/>
  <c r="J5" i="974" s="1"/>
  <c r="H30" i="974"/>
  <c r="G30" i="974"/>
  <c r="F23" i="974"/>
  <c r="E23" i="974"/>
  <c r="D23" i="974"/>
  <c r="C23" i="974"/>
  <c r="F22" i="974"/>
  <c r="E22" i="974"/>
  <c r="D22" i="974"/>
  <c r="C22" i="974"/>
  <c r="F21" i="974"/>
  <c r="E21" i="974"/>
  <c r="D21" i="974"/>
  <c r="C21" i="974"/>
  <c r="F20" i="974"/>
  <c r="E20" i="974"/>
  <c r="D20" i="974"/>
  <c r="C20" i="974"/>
  <c r="F19" i="974"/>
  <c r="E19" i="974"/>
  <c r="D19" i="974"/>
  <c r="C19" i="974"/>
  <c r="F18" i="974"/>
  <c r="E18" i="974"/>
  <c r="D18" i="974"/>
  <c r="C18" i="974"/>
  <c r="F17" i="974"/>
  <c r="E17" i="974"/>
  <c r="D17" i="974"/>
  <c r="C17" i="974"/>
  <c r="F16" i="974"/>
  <c r="E16" i="974"/>
  <c r="D16" i="974"/>
  <c r="C16" i="974"/>
  <c r="F15" i="974"/>
  <c r="E15" i="974"/>
  <c r="D15" i="974"/>
  <c r="C15" i="974"/>
  <c r="F14" i="974"/>
  <c r="E14" i="974"/>
  <c r="D14" i="974"/>
  <c r="C14" i="974"/>
  <c r="F13" i="974"/>
  <c r="E13" i="974"/>
  <c r="D13" i="974"/>
  <c r="C13" i="974"/>
  <c r="F12" i="974"/>
  <c r="E12" i="974"/>
  <c r="D12" i="974"/>
  <c r="C12" i="974"/>
  <c r="F11" i="974"/>
  <c r="E11" i="974"/>
  <c r="D11" i="974"/>
  <c r="C11" i="974"/>
  <c r="F10" i="974"/>
  <c r="E10" i="974"/>
  <c r="D10" i="974"/>
  <c r="C10" i="974"/>
  <c r="F9" i="974"/>
  <c r="E9" i="974"/>
  <c r="D9" i="974"/>
  <c r="C9" i="974"/>
  <c r="F8" i="974"/>
  <c r="E8" i="974"/>
  <c r="D8" i="974"/>
  <c r="C8" i="974"/>
  <c r="F7" i="974"/>
  <c r="E7" i="974"/>
  <c r="D7" i="974"/>
  <c r="C7" i="974"/>
  <c r="F6" i="974"/>
  <c r="E6" i="974"/>
  <c r="D6" i="974"/>
  <c r="C6" i="974"/>
  <c r="J4" i="969"/>
  <c r="J5" i="969" s="1"/>
  <c r="B26" i="969" s="1"/>
  <c r="H30" i="969"/>
  <c r="G30" i="969"/>
  <c r="F23" i="969"/>
  <c r="E23" i="969"/>
  <c r="D23" i="969"/>
  <c r="C23" i="969"/>
  <c r="F22" i="969"/>
  <c r="E22" i="969"/>
  <c r="D22" i="969"/>
  <c r="C22" i="969"/>
  <c r="F21" i="969"/>
  <c r="E21" i="969"/>
  <c r="D21" i="969"/>
  <c r="C21" i="969"/>
  <c r="F20" i="969"/>
  <c r="E20" i="969"/>
  <c r="D20" i="969"/>
  <c r="C20" i="969"/>
  <c r="F19" i="969"/>
  <c r="E19" i="969"/>
  <c r="D19" i="969"/>
  <c r="C19" i="969"/>
  <c r="F18" i="969"/>
  <c r="E18" i="969"/>
  <c r="D18" i="969"/>
  <c r="C18" i="969"/>
  <c r="F17" i="969"/>
  <c r="E17" i="969"/>
  <c r="D17" i="969"/>
  <c r="C17" i="969"/>
  <c r="F16" i="969"/>
  <c r="E16" i="969"/>
  <c r="D16" i="969"/>
  <c r="C16" i="969"/>
  <c r="L15" i="969"/>
  <c r="F15" i="969"/>
  <c r="E15" i="969"/>
  <c r="D15" i="969"/>
  <c r="C15" i="969"/>
  <c r="L14" i="969"/>
  <c r="F14" i="969"/>
  <c r="E14" i="969"/>
  <c r="D14" i="969"/>
  <c r="C14" i="969"/>
  <c r="F13" i="969"/>
  <c r="E13" i="969"/>
  <c r="D13" i="969"/>
  <c r="C13" i="969"/>
  <c r="F12" i="969"/>
  <c r="E12" i="969"/>
  <c r="D12" i="969"/>
  <c r="C12" i="969"/>
  <c r="F11" i="969"/>
  <c r="E11" i="969"/>
  <c r="D11" i="969"/>
  <c r="C11" i="969"/>
  <c r="F10" i="969"/>
  <c r="E10" i="969"/>
  <c r="D10" i="969"/>
  <c r="C10" i="969"/>
  <c r="N9" i="969"/>
  <c r="M9" i="969"/>
  <c r="L9" i="969"/>
  <c r="F9" i="969"/>
  <c r="E9" i="969"/>
  <c r="D9" i="969"/>
  <c r="C9" i="969"/>
  <c r="N8" i="969"/>
  <c r="M8" i="969"/>
  <c r="L8" i="969"/>
  <c r="F8" i="969"/>
  <c r="E8" i="969"/>
  <c r="D8" i="969"/>
  <c r="C8" i="969"/>
  <c r="N7" i="969"/>
  <c r="M7" i="969"/>
  <c r="L7" i="969"/>
  <c r="F7" i="969"/>
  <c r="E7" i="969"/>
  <c r="D7" i="969"/>
  <c r="C7" i="969"/>
  <c r="N6" i="969"/>
  <c r="M6" i="969"/>
  <c r="L6" i="969"/>
  <c r="F6" i="969"/>
  <c r="E6" i="969"/>
  <c r="D6" i="969"/>
  <c r="C6" i="969"/>
  <c r="F32" i="990" l="1"/>
  <c r="D32" i="987"/>
  <c r="F32" i="987"/>
  <c r="F32" i="988"/>
  <c r="C32" i="990"/>
  <c r="E32" i="990"/>
  <c r="L3" i="990"/>
  <c r="L4" i="990" s="1"/>
  <c r="O8" i="990" s="1"/>
  <c r="O11" i="990" s="1"/>
  <c r="L3" i="987"/>
  <c r="L4" i="987" s="1"/>
  <c r="O8" i="987" s="1"/>
  <c r="O11" i="987" s="1"/>
  <c r="O5" i="987"/>
  <c r="O6" i="987" s="1"/>
  <c r="O5" i="990"/>
  <c r="O6" i="990" s="1"/>
  <c r="D32" i="990"/>
  <c r="E32" i="988"/>
  <c r="L3" i="988"/>
  <c r="L4" i="988" s="1"/>
  <c r="O8" i="988" s="1"/>
  <c r="O11" i="988" s="1"/>
  <c r="C32" i="988"/>
  <c r="O5" i="988"/>
  <c r="O6" i="988" s="1"/>
  <c r="D32" i="988"/>
  <c r="D32" i="984"/>
  <c r="O5" i="984"/>
  <c r="O6" i="984" s="1"/>
  <c r="L3" i="984"/>
  <c r="L4" i="984" s="1"/>
  <c r="O8" i="984" s="1"/>
  <c r="O11" i="984" s="1"/>
  <c r="C32" i="984"/>
  <c r="E32" i="984"/>
  <c r="F32" i="984"/>
  <c r="B29" i="980"/>
  <c r="D29" i="980" s="1"/>
  <c r="B27" i="980"/>
  <c r="B26" i="980"/>
  <c r="B28" i="980"/>
  <c r="B25" i="980"/>
  <c r="B29" i="974"/>
  <c r="B27" i="974"/>
  <c r="B25" i="974"/>
  <c r="B28" i="974"/>
  <c r="B26" i="974"/>
  <c r="E26" i="969"/>
  <c r="C26" i="969"/>
  <c r="B28" i="969"/>
  <c r="B25" i="969"/>
  <c r="B27" i="969"/>
  <c r="B29" i="969"/>
  <c r="O14" i="990" l="1"/>
  <c r="O15" i="990" s="1"/>
  <c r="O16" i="990" s="1"/>
  <c r="O17" i="990" s="1"/>
  <c r="O18" i="990" s="1"/>
  <c r="O19" i="990" s="1"/>
  <c r="O20" i="990" s="1"/>
  <c r="O21" i="990" s="1"/>
  <c r="O22" i="990" s="1"/>
  <c r="O23" i="990" s="1"/>
  <c r="O24" i="990" s="1"/>
  <c r="O25" i="990" s="1"/>
  <c r="O26" i="990" s="1"/>
  <c r="O27" i="990" s="1"/>
  <c r="O28" i="990" s="1"/>
  <c r="O29" i="990" s="1"/>
  <c r="O30" i="990" s="1"/>
  <c r="O31" i="990" s="1"/>
  <c r="O32" i="990" s="1"/>
  <c r="O33" i="990" s="1"/>
  <c r="O34" i="990" s="1"/>
  <c r="O35" i="990" s="1"/>
  <c r="O36" i="990" s="1"/>
  <c r="O37" i="990" s="1"/>
  <c r="O38" i="990" s="1"/>
  <c r="O14" i="987"/>
  <c r="O15" i="987" s="1"/>
  <c r="O16" i="987" s="1"/>
  <c r="O17" i="987" s="1"/>
  <c r="O18" i="987" s="1"/>
  <c r="O19" i="987" s="1"/>
  <c r="O20" i="987" s="1"/>
  <c r="O21" i="987" s="1"/>
  <c r="O22" i="987" s="1"/>
  <c r="O23" i="987" s="1"/>
  <c r="O24" i="987" s="1"/>
  <c r="O25" i="987" s="1"/>
  <c r="O26" i="987" s="1"/>
  <c r="O27" i="987" s="1"/>
  <c r="O28" i="987" s="1"/>
  <c r="O29" i="987" s="1"/>
  <c r="O30" i="987" s="1"/>
  <c r="O31" i="987" s="1"/>
  <c r="O32" i="987" s="1"/>
  <c r="O33" i="987" s="1"/>
  <c r="O34" i="987" s="1"/>
  <c r="O35" i="987" s="1"/>
  <c r="O36" i="987" s="1"/>
  <c r="O37" i="987" s="1"/>
  <c r="O38" i="987" s="1"/>
  <c r="O14" i="988"/>
  <c r="O15" i="988" s="1"/>
  <c r="O16" i="988" s="1"/>
  <c r="O17" i="988" s="1"/>
  <c r="O18" i="988" s="1"/>
  <c r="O19" i="988" s="1"/>
  <c r="O20" i="988" s="1"/>
  <c r="O21" i="988" s="1"/>
  <c r="O22" i="988" s="1"/>
  <c r="O23" i="988" s="1"/>
  <c r="O24" i="988" s="1"/>
  <c r="O25" i="988" s="1"/>
  <c r="O26" i="988" s="1"/>
  <c r="O27" i="988" s="1"/>
  <c r="O28" i="988" s="1"/>
  <c r="O29" i="988" s="1"/>
  <c r="O30" i="988" s="1"/>
  <c r="O31" i="988" s="1"/>
  <c r="O32" i="988" s="1"/>
  <c r="O33" i="988" s="1"/>
  <c r="O34" i="988" s="1"/>
  <c r="O35" i="988" s="1"/>
  <c r="O36" i="988" s="1"/>
  <c r="O37" i="988" s="1"/>
  <c r="O38" i="988" s="1"/>
  <c r="O14" i="984"/>
  <c r="O15" i="984" s="1"/>
  <c r="O16" i="984" s="1"/>
  <c r="O17" i="984" s="1"/>
  <c r="O18" i="984" s="1"/>
  <c r="O19" i="984" s="1"/>
  <c r="O20" i="984" s="1"/>
  <c r="O21" i="984" s="1"/>
  <c r="O22" i="984" s="1"/>
  <c r="O23" i="984" s="1"/>
  <c r="O24" i="984" s="1"/>
  <c r="O25" i="984" s="1"/>
  <c r="O26" i="984" s="1"/>
  <c r="O27" i="984" s="1"/>
  <c r="O28" i="984" s="1"/>
  <c r="O29" i="984" s="1"/>
  <c r="O30" i="984" s="1"/>
  <c r="O31" i="984" s="1"/>
  <c r="O32" i="984" s="1"/>
  <c r="O33" i="984" s="1"/>
  <c r="O34" i="984" s="1"/>
  <c r="O35" i="984" s="1"/>
  <c r="O36" i="984" s="1"/>
  <c r="O37" i="984" s="1"/>
  <c r="O38" i="984" s="1"/>
  <c r="F28" i="980"/>
  <c r="D28" i="980"/>
  <c r="C26" i="980"/>
  <c r="E26" i="980"/>
  <c r="E28" i="980"/>
  <c r="C28" i="980"/>
  <c r="C27" i="980"/>
  <c r="E27" i="980"/>
  <c r="E25" i="980"/>
  <c r="D25" i="980"/>
  <c r="C25" i="980"/>
  <c r="B30" i="980"/>
  <c r="F25" i="980"/>
  <c r="C29" i="980"/>
  <c r="F29" i="980"/>
  <c r="E29" i="980"/>
  <c r="F27" i="974"/>
  <c r="D27" i="974"/>
  <c r="C27" i="974"/>
  <c r="E27" i="974"/>
  <c r="E26" i="974"/>
  <c r="C26" i="974"/>
  <c r="C29" i="974"/>
  <c r="F29" i="974"/>
  <c r="E29" i="974"/>
  <c r="D29" i="974"/>
  <c r="E28" i="974"/>
  <c r="D28" i="974"/>
  <c r="C28" i="974"/>
  <c r="F28" i="974"/>
  <c r="C25" i="974"/>
  <c r="E25" i="974"/>
  <c r="B30" i="974"/>
  <c r="F28" i="969"/>
  <c r="D28" i="969"/>
  <c r="E28" i="969"/>
  <c r="E27" i="969"/>
  <c r="C29" i="969"/>
  <c r="E29" i="969"/>
  <c r="D29" i="969"/>
  <c r="F29" i="969"/>
  <c r="C25" i="969"/>
  <c r="F25" i="969"/>
  <c r="E25" i="969"/>
  <c r="B30" i="969"/>
  <c r="D25" i="969"/>
  <c r="C27" i="969"/>
  <c r="C28" i="969"/>
  <c r="F30" i="980" l="1"/>
  <c r="E30" i="980"/>
  <c r="D31" i="980"/>
  <c r="F31" i="980" s="1"/>
  <c r="C31" i="980"/>
  <c r="E31" i="980" s="1"/>
  <c r="C30" i="980"/>
  <c r="D30" i="980"/>
  <c r="D31" i="974"/>
  <c r="F31" i="974" s="1"/>
  <c r="C31" i="974"/>
  <c r="E31" i="974" s="1"/>
  <c r="F30" i="974"/>
  <c r="E30" i="974"/>
  <c r="D30" i="974"/>
  <c r="C30" i="974"/>
  <c r="E30" i="969"/>
  <c r="D31" i="969"/>
  <c r="F31" i="969" s="1"/>
  <c r="C31" i="969"/>
  <c r="E31" i="969" s="1"/>
  <c r="F30" i="969"/>
  <c r="D30" i="969"/>
  <c r="C30" i="969"/>
  <c r="E32" i="980" l="1"/>
  <c r="F32" i="980"/>
  <c r="D32" i="980"/>
  <c r="O5" i="980"/>
  <c r="O6" i="980" s="1"/>
  <c r="C32" i="980"/>
  <c r="L3" i="980"/>
  <c r="L4" i="980" s="1"/>
  <c r="O8" i="980" s="1"/>
  <c r="O11" i="980" s="1"/>
  <c r="E32" i="974"/>
  <c r="F32" i="974"/>
  <c r="L3" i="974"/>
  <c r="L4" i="974" s="1"/>
  <c r="O8" i="974" s="1"/>
  <c r="O11" i="974" s="1"/>
  <c r="C32" i="974"/>
  <c r="O5" i="974"/>
  <c r="O6" i="974" s="1"/>
  <c r="D32" i="974"/>
  <c r="E32" i="969"/>
  <c r="F32" i="969"/>
  <c r="P3" i="969"/>
  <c r="P4" i="969" s="1"/>
  <c r="S8" i="969" s="1"/>
  <c r="S11" i="969" s="1"/>
  <c r="C32" i="969"/>
  <c r="S5" i="969"/>
  <c r="S6" i="969" s="1"/>
  <c r="D32" i="969"/>
  <c r="B24" i="961"/>
  <c r="J4" i="961"/>
  <c r="J5" i="961" s="1"/>
  <c r="B28" i="961" s="1"/>
  <c r="H30" i="961"/>
  <c r="G30" i="961"/>
  <c r="F23" i="961"/>
  <c r="E23" i="961"/>
  <c r="D23" i="961"/>
  <c r="C23" i="961"/>
  <c r="F22" i="961"/>
  <c r="E22" i="961"/>
  <c r="D22" i="961"/>
  <c r="C22" i="961"/>
  <c r="F21" i="961"/>
  <c r="E21" i="961"/>
  <c r="D21" i="961"/>
  <c r="C21" i="961"/>
  <c r="F20" i="961"/>
  <c r="E20" i="961"/>
  <c r="D20" i="961"/>
  <c r="C20" i="961"/>
  <c r="F19" i="961"/>
  <c r="E19" i="961"/>
  <c r="D19" i="961"/>
  <c r="C19" i="961"/>
  <c r="F18" i="961"/>
  <c r="E18" i="961"/>
  <c r="D18" i="961"/>
  <c r="C18" i="961"/>
  <c r="F17" i="961"/>
  <c r="E17" i="961"/>
  <c r="D17" i="961"/>
  <c r="C17" i="961"/>
  <c r="F16" i="961"/>
  <c r="E16" i="961"/>
  <c r="D16" i="961"/>
  <c r="C16" i="961"/>
  <c r="L15" i="961"/>
  <c r="F15" i="961"/>
  <c r="E15" i="961"/>
  <c r="D15" i="961"/>
  <c r="C15" i="961"/>
  <c r="L14" i="961"/>
  <c r="F14" i="961"/>
  <c r="E14" i="961"/>
  <c r="D14" i="961"/>
  <c r="C14" i="961"/>
  <c r="F13" i="961"/>
  <c r="E13" i="961"/>
  <c r="D13" i="961"/>
  <c r="C13" i="961"/>
  <c r="F12" i="961"/>
  <c r="E12" i="961"/>
  <c r="D12" i="961"/>
  <c r="C12" i="961"/>
  <c r="F11" i="961"/>
  <c r="E11" i="961"/>
  <c r="D11" i="961"/>
  <c r="C11" i="961"/>
  <c r="F10" i="961"/>
  <c r="E10" i="961"/>
  <c r="D10" i="961"/>
  <c r="C10" i="961"/>
  <c r="N9" i="961"/>
  <c r="M9" i="961"/>
  <c r="L9" i="961"/>
  <c r="F9" i="961"/>
  <c r="E9" i="961"/>
  <c r="D9" i="961"/>
  <c r="C9" i="961"/>
  <c r="N8" i="961"/>
  <c r="M8" i="961"/>
  <c r="L8" i="961"/>
  <c r="F8" i="961"/>
  <c r="E8" i="961"/>
  <c r="D8" i="961"/>
  <c r="C8" i="961"/>
  <c r="N7" i="961"/>
  <c r="M7" i="961"/>
  <c r="L7" i="961"/>
  <c r="F7" i="961"/>
  <c r="E7" i="961"/>
  <c r="D7" i="961"/>
  <c r="C7" i="961"/>
  <c r="N6" i="961"/>
  <c r="M6" i="961"/>
  <c r="L6" i="961"/>
  <c r="F6" i="961"/>
  <c r="E6" i="961"/>
  <c r="D6" i="961"/>
  <c r="C6" i="961"/>
  <c r="O14" i="980" l="1"/>
  <c r="O15" i="980" s="1"/>
  <c r="O16" i="980" s="1"/>
  <c r="O17" i="980" s="1"/>
  <c r="O18" i="980" s="1"/>
  <c r="O19" i="980" s="1"/>
  <c r="O20" i="980" s="1"/>
  <c r="O21" i="980" s="1"/>
  <c r="O22" i="980" s="1"/>
  <c r="O23" i="980" s="1"/>
  <c r="O24" i="980" s="1"/>
  <c r="O25" i="980" s="1"/>
  <c r="O26" i="980" s="1"/>
  <c r="O27" i="980" s="1"/>
  <c r="O28" i="980" s="1"/>
  <c r="O29" i="980" s="1"/>
  <c r="O30" i="980" s="1"/>
  <c r="O31" i="980" s="1"/>
  <c r="O32" i="980" s="1"/>
  <c r="O33" i="980" s="1"/>
  <c r="O34" i="980" s="1"/>
  <c r="O35" i="980" s="1"/>
  <c r="O36" i="980" s="1"/>
  <c r="O37" i="980" s="1"/>
  <c r="O38" i="980" s="1"/>
  <c r="O14" i="974"/>
  <c r="O15" i="974" s="1"/>
  <c r="O16" i="974" s="1"/>
  <c r="O17" i="974" s="1"/>
  <c r="O18" i="974" s="1"/>
  <c r="O19" i="974" s="1"/>
  <c r="O20" i="974" s="1"/>
  <c r="O21" i="974" s="1"/>
  <c r="O22" i="974" s="1"/>
  <c r="O23" i="974" s="1"/>
  <c r="O24" i="974" s="1"/>
  <c r="O25" i="974" s="1"/>
  <c r="O26" i="974" s="1"/>
  <c r="O27" i="974" s="1"/>
  <c r="O28" i="974" s="1"/>
  <c r="O29" i="974" s="1"/>
  <c r="O30" i="974" s="1"/>
  <c r="O31" i="974" s="1"/>
  <c r="O32" i="974" s="1"/>
  <c r="O33" i="974" s="1"/>
  <c r="O34" i="974" s="1"/>
  <c r="O35" i="974" s="1"/>
  <c r="O36" i="974" s="1"/>
  <c r="O37" i="974" s="1"/>
  <c r="O38" i="974" s="1"/>
  <c r="S14" i="969"/>
  <c r="S15" i="969" s="1"/>
  <c r="S16" i="969" s="1"/>
  <c r="S17" i="969" s="1"/>
  <c r="S18" i="969" s="1"/>
  <c r="S19" i="969" s="1"/>
  <c r="S20" i="969" s="1"/>
  <c r="S21" i="969" s="1"/>
  <c r="S22" i="969" s="1"/>
  <c r="S23" i="969" s="1"/>
  <c r="S24" i="969" s="1"/>
  <c r="S25" i="969" s="1"/>
  <c r="S26" i="969" s="1"/>
  <c r="S27" i="969" s="1"/>
  <c r="S28" i="969" s="1"/>
  <c r="S29" i="969" s="1"/>
  <c r="S30" i="969" s="1"/>
  <c r="S31" i="969" s="1"/>
  <c r="S32" i="969" s="1"/>
  <c r="S33" i="969" s="1"/>
  <c r="S34" i="969" s="1"/>
  <c r="S35" i="969" s="1"/>
  <c r="S36" i="969" s="1"/>
  <c r="S37" i="969" s="1"/>
  <c r="S38" i="969" s="1"/>
  <c r="E28" i="961"/>
  <c r="D28" i="961"/>
  <c r="F28" i="961"/>
  <c r="C28" i="961"/>
  <c r="B25" i="961"/>
  <c r="B27" i="961"/>
  <c r="B29" i="961"/>
  <c r="B26" i="961"/>
  <c r="E26" i="961" l="1"/>
  <c r="D26" i="961"/>
  <c r="C26" i="961"/>
  <c r="F26" i="961"/>
  <c r="C27" i="961"/>
  <c r="F27" i="961"/>
  <c r="D27" i="961"/>
  <c r="E27" i="961"/>
  <c r="C25" i="961"/>
  <c r="F25" i="961"/>
  <c r="D25" i="961"/>
  <c r="E25" i="961"/>
  <c r="B30" i="961"/>
  <c r="C29" i="961"/>
  <c r="F29" i="961"/>
  <c r="D29" i="961"/>
  <c r="E29" i="961"/>
  <c r="C30" i="961" l="1"/>
  <c r="C31" i="961"/>
  <c r="E31" i="961" s="1"/>
  <c r="D31" i="961"/>
  <c r="F31" i="961" s="1"/>
  <c r="E30" i="961"/>
  <c r="D30" i="961"/>
  <c r="F30" i="961"/>
  <c r="F32" i="961" l="1"/>
  <c r="E32" i="961"/>
  <c r="C32" i="961"/>
  <c r="D32" i="961"/>
  <c r="S5" i="961"/>
  <c r="S6" i="961" s="1"/>
  <c r="P3" i="961"/>
  <c r="P4" i="961" s="1"/>
  <c r="S8" i="961" s="1"/>
  <c r="S11" i="961" s="1"/>
  <c r="S14" i="961" l="1"/>
  <c r="S15" i="961" s="1"/>
  <c r="S16" i="961" s="1"/>
  <c r="S17" i="961" s="1"/>
  <c r="S18" i="961" s="1"/>
  <c r="S19" i="961" s="1"/>
  <c r="S20" i="961" s="1"/>
  <c r="S21" i="961" s="1"/>
  <c r="S22" i="961" s="1"/>
  <c r="S23" i="961" s="1"/>
  <c r="S24" i="961" s="1"/>
  <c r="S25" i="961" s="1"/>
  <c r="S26" i="961" s="1"/>
  <c r="S27" i="961" s="1"/>
  <c r="S28" i="961" s="1"/>
  <c r="S29" i="961" s="1"/>
  <c r="S30" i="961" s="1"/>
  <c r="S31" i="961" s="1"/>
  <c r="S32" i="961" s="1"/>
  <c r="S33" i="961" s="1"/>
  <c r="S34" i="961" s="1"/>
  <c r="S35" i="961" s="1"/>
  <c r="S36" i="961" s="1"/>
  <c r="S37" i="961" s="1"/>
  <c r="S38" i="961" s="1"/>
  <c r="D26" i="874" l="1"/>
  <c r="G42" i="907" l="1"/>
  <c r="G41" i="907"/>
  <c r="G29" i="907"/>
  <c r="G28" i="907"/>
  <c r="G27" i="907"/>
  <c r="G26" i="907"/>
  <c r="G25" i="907"/>
  <c r="E42" i="907"/>
  <c r="E41" i="907"/>
  <c r="B42" i="907"/>
  <c r="B41" i="907"/>
  <c r="G43" i="907" l="1"/>
  <c r="E29" i="907"/>
  <c r="E28" i="907"/>
  <c r="E27" i="907"/>
  <c r="E26" i="907"/>
  <c r="E25" i="907"/>
  <c r="E24" i="907"/>
  <c r="E23" i="907"/>
  <c r="E22" i="907"/>
  <c r="E21" i="907"/>
  <c r="E20" i="907"/>
  <c r="E19" i="907"/>
  <c r="E18" i="907"/>
  <c r="E17" i="907"/>
  <c r="E16" i="907"/>
  <c r="E15" i="907"/>
  <c r="E14" i="907"/>
  <c r="E13" i="907"/>
  <c r="E12" i="907"/>
  <c r="E11" i="907"/>
  <c r="E10" i="907"/>
  <c r="E9" i="907"/>
  <c r="E8" i="907"/>
  <c r="E7" i="907"/>
  <c r="E6" i="907"/>
  <c r="C29" i="907"/>
  <c r="C28" i="907"/>
  <c r="C27" i="907"/>
  <c r="C26" i="907"/>
  <c r="C25" i="907"/>
  <c r="C24" i="907"/>
  <c r="C23" i="907"/>
  <c r="C22" i="907"/>
  <c r="C21" i="907"/>
  <c r="C20" i="907"/>
  <c r="C19" i="907"/>
  <c r="C18" i="907"/>
  <c r="C17" i="907"/>
  <c r="C16" i="907"/>
  <c r="C15" i="907"/>
  <c r="C14" i="907"/>
  <c r="C13" i="907"/>
  <c r="C12" i="907"/>
  <c r="C11" i="907"/>
  <c r="C10" i="907"/>
  <c r="C9" i="907"/>
  <c r="C8" i="907"/>
  <c r="C7" i="907"/>
  <c r="C6" i="907"/>
  <c r="G21" i="907"/>
  <c r="G22" i="907"/>
  <c r="G23" i="907"/>
  <c r="G24" i="907"/>
  <c r="K4" i="907"/>
  <c r="K5" i="907" s="1"/>
  <c r="I30" i="907"/>
  <c r="H30" i="907"/>
  <c r="B30" i="907"/>
  <c r="E33" i="907" s="1"/>
  <c r="G20" i="907"/>
  <c r="G19" i="907"/>
  <c r="G18" i="907"/>
  <c r="G17" i="907"/>
  <c r="G16" i="907"/>
  <c r="M15" i="907"/>
  <c r="G15" i="907"/>
  <c r="M14" i="907"/>
  <c r="G14" i="907"/>
  <c r="G13" i="907"/>
  <c r="G12" i="907"/>
  <c r="G11" i="907"/>
  <c r="G10" i="907"/>
  <c r="O9" i="907"/>
  <c r="N9" i="907"/>
  <c r="M9" i="907"/>
  <c r="G9" i="907"/>
  <c r="O8" i="907"/>
  <c r="N8" i="907"/>
  <c r="M8" i="907"/>
  <c r="G8" i="907"/>
  <c r="O7" i="907"/>
  <c r="N7" i="907"/>
  <c r="M7" i="907"/>
  <c r="G7" i="907"/>
  <c r="O6" i="907"/>
  <c r="N6" i="907"/>
  <c r="M6" i="907"/>
  <c r="G6" i="907"/>
  <c r="C30" i="907" l="1"/>
  <c r="E30" i="907"/>
  <c r="G31" i="907"/>
  <c r="F30" i="907"/>
  <c r="T5" i="907" s="1"/>
  <c r="T6" i="907" s="1"/>
  <c r="D30" i="907"/>
  <c r="B33" i="907"/>
  <c r="D25" i="889"/>
  <c r="C25" i="889"/>
  <c r="E24" i="889"/>
  <c r="I4" i="889"/>
  <c r="I5" i="889" s="1"/>
  <c r="G30" i="889"/>
  <c r="F30" i="889"/>
  <c r="E23" i="889"/>
  <c r="D23" i="889"/>
  <c r="C23" i="889"/>
  <c r="E22" i="889"/>
  <c r="D22" i="889"/>
  <c r="C22" i="889"/>
  <c r="E21" i="889"/>
  <c r="D21" i="889"/>
  <c r="C21" i="889"/>
  <c r="E20" i="889"/>
  <c r="D20" i="889"/>
  <c r="C20" i="889"/>
  <c r="E19" i="889"/>
  <c r="D19" i="889"/>
  <c r="C19" i="889"/>
  <c r="E18" i="889"/>
  <c r="D18" i="889"/>
  <c r="C18" i="889"/>
  <c r="E17" i="889"/>
  <c r="D17" i="889"/>
  <c r="C17" i="889"/>
  <c r="E16" i="889"/>
  <c r="D16" i="889"/>
  <c r="C16" i="889"/>
  <c r="E15" i="889"/>
  <c r="D15" i="889"/>
  <c r="C15" i="889"/>
  <c r="K14" i="889"/>
  <c r="E14" i="889"/>
  <c r="D14" i="889"/>
  <c r="C14" i="889"/>
  <c r="E13" i="889"/>
  <c r="D13" i="889"/>
  <c r="C13" i="889"/>
  <c r="E12" i="889"/>
  <c r="D12" i="889"/>
  <c r="C12" i="889"/>
  <c r="E11" i="889"/>
  <c r="D11" i="889"/>
  <c r="C11" i="889"/>
  <c r="E10" i="889"/>
  <c r="D10" i="889"/>
  <c r="C10" i="889"/>
  <c r="E9" i="889"/>
  <c r="D9" i="889"/>
  <c r="C9" i="889"/>
  <c r="E8" i="889"/>
  <c r="D8" i="889"/>
  <c r="C8" i="889"/>
  <c r="E7" i="889"/>
  <c r="D7" i="889"/>
  <c r="C7" i="889"/>
  <c r="E6" i="889"/>
  <c r="D6" i="889"/>
  <c r="C6" i="889"/>
  <c r="D25" i="886"/>
  <c r="C22" i="886"/>
  <c r="D22" i="886"/>
  <c r="E22" i="886"/>
  <c r="C11" i="886"/>
  <c r="G30" i="886"/>
  <c r="F30" i="886"/>
  <c r="E24" i="886"/>
  <c r="E23" i="886"/>
  <c r="D23" i="886"/>
  <c r="C23" i="886"/>
  <c r="E21" i="886"/>
  <c r="D21" i="886"/>
  <c r="C21" i="886"/>
  <c r="E20" i="886"/>
  <c r="D20" i="886"/>
  <c r="C20" i="886"/>
  <c r="E19" i="886"/>
  <c r="D19" i="886"/>
  <c r="C19" i="886"/>
  <c r="E18" i="886"/>
  <c r="D18" i="886"/>
  <c r="C18" i="886"/>
  <c r="E17" i="886"/>
  <c r="D17" i="886"/>
  <c r="C17" i="886"/>
  <c r="E16" i="886"/>
  <c r="D16" i="886"/>
  <c r="C16" i="886"/>
  <c r="E15" i="886"/>
  <c r="D15" i="886"/>
  <c r="C15" i="886"/>
  <c r="K14" i="886"/>
  <c r="E14" i="886"/>
  <c r="D14" i="886"/>
  <c r="C14" i="886"/>
  <c r="E13" i="886"/>
  <c r="D13" i="886"/>
  <c r="C13" i="886"/>
  <c r="E12" i="886"/>
  <c r="D12" i="886"/>
  <c r="C12" i="886"/>
  <c r="E11" i="886"/>
  <c r="D11" i="886"/>
  <c r="E10" i="886"/>
  <c r="D10" i="886"/>
  <c r="C10" i="886"/>
  <c r="E9" i="886"/>
  <c r="D9" i="886"/>
  <c r="C9" i="886"/>
  <c r="E8" i="886"/>
  <c r="D8" i="886"/>
  <c r="C8" i="886"/>
  <c r="E7" i="886"/>
  <c r="D7" i="886"/>
  <c r="C7" i="886"/>
  <c r="E6" i="886"/>
  <c r="D6" i="886"/>
  <c r="C6" i="886"/>
  <c r="I4" i="886"/>
  <c r="I5" i="886" s="1"/>
  <c r="E34" i="907" l="1"/>
  <c r="B34" i="907"/>
  <c r="G30" i="907"/>
  <c r="B29" i="889"/>
  <c r="B25" i="889"/>
  <c r="B28" i="889"/>
  <c r="B27" i="889"/>
  <c r="B26" i="889"/>
  <c r="B29" i="886"/>
  <c r="B25" i="886"/>
  <c r="B26" i="886"/>
  <c r="B28" i="886"/>
  <c r="B27" i="886"/>
  <c r="Q3" i="907" l="1"/>
  <c r="Q4" i="907" s="1"/>
  <c r="T8" i="907" s="1"/>
  <c r="T11" i="907" s="1"/>
  <c r="T14" i="907" s="1"/>
  <c r="T15" i="907" s="1"/>
  <c r="T16" i="907" s="1"/>
  <c r="T17" i="907" s="1"/>
  <c r="T18" i="907" s="1"/>
  <c r="T19" i="907" s="1"/>
  <c r="T20" i="907" s="1"/>
  <c r="T21" i="907" s="1"/>
  <c r="T22" i="907" s="1"/>
  <c r="T23" i="907" s="1"/>
  <c r="T24" i="907" s="1"/>
  <c r="T25" i="907" s="1"/>
  <c r="T26" i="907" s="1"/>
  <c r="T27" i="907" s="1"/>
  <c r="T28" i="907" s="1"/>
  <c r="T29" i="907" s="1"/>
  <c r="T30" i="907" s="1"/>
  <c r="T31" i="907" s="1"/>
  <c r="T32" i="907" s="1"/>
  <c r="T33" i="907" s="1"/>
  <c r="T34" i="907" s="1"/>
  <c r="T35" i="907" s="1"/>
  <c r="T36" i="907" s="1"/>
  <c r="T37" i="907" s="1"/>
  <c r="T38" i="907" s="1"/>
  <c r="G34" i="907"/>
  <c r="B30" i="889"/>
  <c r="E27" i="889"/>
  <c r="C26" i="886"/>
  <c r="D26" i="886"/>
  <c r="C28" i="886"/>
  <c r="D28" i="886"/>
  <c r="B30" i="886"/>
  <c r="C25" i="886"/>
  <c r="D27" i="886"/>
  <c r="C27" i="886"/>
  <c r="D29" i="886"/>
  <c r="C29" i="886"/>
  <c r="E25" i="889" l="1"/>
  <c r="C30" i="889"/>
  <c r="E28" i="889"/>
  <c r="D33" i="889"/>
  <c r="B33" i="889"/>
  <c r="E29" i="889"/>
  <c r="E26" i="889"/>
  <c r="D30" i="889"/>
  <c r="R5" i="889" s="1"/>
  <c r="R6" i="889" s="1"/>
  <c r="E29" i="886"/>
  <c r="E25" i="886"/>
  <c r="C30" i="886"/>
  <c r="E28" i="886"/>
  <c r="D30" i="886"/>
  <c r="R5" i="886" s="1"/>
  <c r="R6" i="886" s="1"/>
  <c r="E27" i="886"/>
  <c r="D33" i="886"/>
  <c r="B33" i="886"/>
  <c r="E26" i="886"/>
  <c r="D34" i="889" l="1"/>
  <c r="E30" i="889"/>
  <c r="O3" i="889" s="1"/>
  <c r="O4" i="889" s="1"/>
  <c r="R8" i="889" s="1"/>
  <c r="R11" i="889" s="1"/>
  <c r="R14" i="889" s="1"/>
  <c r="R15" i="889" s="1"/>
  <c r="R16" i="889" s="1"/>
  <c r="R17" i="889" s="1"/>
  <c r="R18" i="889" s="1"/>
  <c r="R19" i="889" s="1"/>
  <c r="R20" i="889" s="1"/>
  <c r="R21" i="889" s="1"/>
  <c r="R22" i="889" s="1"/>
  <c r="R23" i="889" s="1"/>
  <c r="R24" i="889" s="1"/>
  <c r="R25" i="889" s="1"/>
  <c r="R26" i="889" s="1"/>
  <c r="R27" i="889" s="1"/>
  <c r="R28" i="889" s="1"/>
  <c r="R29" i="889" s="1"/>
  <c r="R30" i="889" s="1"/>
  <c r="R31" i="889" s="1"/>
  <c r="R32" i="889" s="1"/>
  <c r="R33" i="889" s="1"/>
  <c r="R34" i="889" s="1"/>
  <c r="R35" i="889" s="1"/>
  <c r="R36" i="889" s="1"/>
  <c r="R37" i="889" s="1"/>
  <c r="R38" i="889" s="1"/>
  <c r="B34" i="889"/>
  <c r="E31" i="889"/>
  <c r="E30" i="886"/>
  <c r="O3" i="886" s="1"/>
  <c r="O4" i="886" s="1"/>
  <c r="R8" i="886" s="1"/>
  <c r="R11" i="886" s="1"/>
  <c r="R14" i="886" s="1"/>
  <c r="R15" i="886" s="1"/>
  <c r="R16" i="886" s="1"/>
  <c r="R17" i="886" s="1"/>
  <c r="R18" i="886" s="1"/>
  <c r="R19" i="886" s="1"/>
  <c r="R20" i="886" s="1"/>
  <c r="R21" i="886" s="1"/>
  <c r="R22" i="886" s="1"/>
  <c r="R23" i="886" s="1"/>
  <c r="R24" i="886" s="1"/>
  <c r="R25" i="886" s="1"/>
  <c r="R26" i="886" s="1"/>
  <c r="R27" i="886" s="1"/>
  <c r="R28" i="886" s="1"/>
  <c r="R29" i="886" s="1"/>
  <c r="R30" i="886" s="1"/>
  <c r="R31" i="886" s="1"/>
  <c r="R32" i="886" s="1"/>
  <c r="R33" i="886" s="1"/>
  <c r="R34" i="886" s="1"/>
  <c r="R35" i="886" s="1"/>
  <c r="R36" i="886" s="1"/>
  <c r="R37" i="886" s="1"/>
  <c r="R38" i="886" s="1"/>
  <c r="D34" i="886"/>
  <c r="B34" i="886"/>
  <c r="E31" i="886"/>
  <c r="I4" i="874" l="1"/>
  <c r="I5" i="874" s="1"/>
  <c r="G30" i="874"/>
  <c r="F30" i="874"/>
  <c r="B30" i="874"/>
  <c r="D33" i="874" s="1"/>
  <c r="D29" i="874"/>
  <c r="C29" i="874"/>
  <c r="D28" i="874"/>
  <c r="C28" i="874"/>
  <c r="D27" i="874"/>
  <c r="C27" i="874"/>
  <c r="C26" i="874"/>
  <c r="E23" i="874"/>
  <c r="E22" i="874"/>
  <c r="E21" i="874"/>
  <c r="E20" i="874"/>
  <c r="E19" i="874"/>
  <c r="E18" i="874"/>
  <c r="E17" i="874"/>
  <c r="E16" i="874"/>
  <c r="K15" i="874"/>
  <c r="E15" i="874"/>
  <c r="K14" i="874"/>
  <c r="E14" i="874"/>
  <c r="E13" i="874"/>
  <c r="E12" i="874"/>
  <c r="E11" i="874"/>
  <c r="E10" i="874"/>
  <c r="M9" i="874"/>
  <c r="L9" i="874"/>
  <c r="K9" i="874"/>
  <c r="E9" i="874"/>
  <c r="M8" i="874"/>
  <c r="L8" i="874"/>
  <c r="K8" i="874"/>
  <c r="E8" i="874"/>
  <c r="M7" i="874"/>
  <c r="L7" i="874"/>
  <c r="K7" i="874"/>
  <c r="E7" i="874"/>
  <c r="M6" i="874"/>
  <c r="L6" i="874"/>
  <c r="K6" i="874"/>
  <c r="E6" i="874"/>
  <c r="E24" i="843"/>
  <c r="E25" i="874" l="1"/>
  <c r="E26" i="874"/>
  <c r="E28" i="874"/>
  <c r="E27" i="874"/>
  <c r="E29" i="874"/>
  <c r="C30" i="874"/>
  <c r="B33" i="874"/>
  <c r="D30" i="874"/>
  <c r="R5" i="874" s="1"/>
  <c r="R6" i="874" s="1"/>
  <c r="E31" i="874" l="1"/>
  <c r="B34" i="874"/>
  <c r="D34" i="874"/>
  <c r="E30" i="874"/>
  <c r="O3" i="874" s="1"/>
  <c r="O4" i="874" s="1"/>
  <c r="R8" i="874" s="1"/>
  <c r="R11" i="874" s="1"/>
  <c r="R14" i="874" s="1"/>
  <c r="R15" i="874" s="1"/>
  <c r="R16" i="874" s="1"/>
  <c r="R17" i="874" s="1"/>
  <c r="R18" i="874" s="1"/>
  <c r="R19" i="874" s="1"/>
  <c r="R20" i="874" s="1"/>
  <c r="R21" i="874" s="1"/>
  <c r="R22" i="874" s="1"/>
  <c r="R23" i="874" s="1"/>
  <c r="R24" i="874" s="1"/>
  <c r="R25" i="874" s="1"/>
  <c r="R26" i="874" s="1"/>
  <c r="R27" i="874" s="1"/>
  <c r="R28" i="874" s="1"/>
  <c r="R29" i="874" s="1"/>
  <c r="R30" i="874" s="1"/>
  <c r="R31" i="874" s="1"/>
  <c r="R32" i="874" s="1"/>
  <c r="R33" i="874" s="1"/>
  <c r="R34" i="874" s="1"/>
  <c r="R35" i="874" s="1"/>
  <c r="R36" i="874" s="1"/>
  <c r="R37" i="874" s="1"/>
  <c r="R38" i="874" s="1"/>
  <c r="D25" i="843" l="1"/>
  <c r="D30" i="843" s="1"/>
  <c r="R5" i="843" s="1"/>
  <c r="R6" i="843" s="1"/>
  <c r="C25" i="843"/>
  <c r="E26" i="843"/>
  <c r="I5" i="843"/>
  <c r="I3" i="843"/>
  <c r="G30" i="843"/>
  <c r="F30" i="843"/>
  <c r="E29" i="843"/>
  <c r="E28" i="843"/>
  <c r="E27" i="843"/>
  <c r="E23" i="843"/>
  <c r="E22" i="843"/>
  <c r="E21" i="843"/>
  <c r="E20" i="843"/>
  <c r="E19" i="843"/>
  <c r="E18" i="843"/>
  <c r="E17" i="843"/>
  <c r="E16" i="843"/>
  <c r="K15" i="843"/>
  <c r="E15" i="843"/>
  <c r="K14" i="843"/>
  <c r="E14" i="843"/>
  <c r="E13" i="843"/>
  <c r="E12" i="843"/>
  <c r="E11" i="843"/>
  <c r="E10" i="843"/>
  <c r="M9" i="843"/>
  <c r="L9" i="843"/>
  <c r="K9" i="843"/>
  <c r="E9" i="843"/>
  <c r="M8" i="843"/>
  <c r="L8" i="843"/>
  <c r="K8" i="843"/>
  <c r="E8" i="843"/>
  <c r="M7" i="843"/>
  <c r="L7" i="843"/>
  <c r="K7" i="843"/>
  <c r="E7" i="843"/>
  <c r="M6" i="843"/>
  <c r="L6" i="843"/>
  <c r="K6" i="843"/>
  <c r="E6" i="843"/>
  <c r="B30" i="843" l="1"/>
  <c r="E25" i="843"/>
  <c r="E31" i="843" s="1"/>
  <c r="C30" i="843"/>
  <c r="B33" i="843" l="1"/>
  <c r="B34" i="843" s="1"/>
  <c r="D33" i="843"/>
  <c r="D34" i="843" s="1"/>
  <c r="E30" i="843"/>
  <c r="O3" i="843" s="1"/>
  <c r="O4" i="843" s="1"/>
  <c r="R8" i="843" s="1"/>
  <c r="R11" i="843" s="1"/>
  <c r="R14" i="843" s="1"/>
  <c r="R15" i="843" s="1"/>
  <c r="R16" i="843" s="1"/>
  <c r="R17" i="843" s="1"/>
  <c r="R18" i="843" s="1"/>
  <c r="R19" i="843" s="1"/>
  <c r="R20" i="843" s="1"/>
  <c r="R21" i="843" s="1"/>
  <c r="R22" i="843" s="1"/>
  <c r="R23" i="843" s="1"/>
  <c r="R24" i="843" s="1"/>
  <c r="R25" i="843" s="1"/>
  <c r="R26" i="843" s="1"/>
  <c r="R27" i="843" s="1"/>
  <c r="R28" i="843" s="1"/>
  <c r="R29" i="843" s="1"/>
  <c r="R30" i="843" s="1"/>
  <c r="R31" i="843" s="1"/>
  <c r="R32" i="843" s="1"/>
  <c r="R33" i="843" s="1"/>
  <c r="R34" i="843" s="1"/>
  <c r="R35" i="843" s="1"/>
  <c r="R36" i="843" s="1"/>
  <c r="R37" i="843" s="1"/>
  <c r="R38" i="843" s="1"/>
  <c r="I23" i="832" l="1"/>
  <c r="J21" i="832"/>
  <c r="D29" i="832"/>
  <c r="C29" i="832"/>
  <c r="D28" i="832"/>
  <c r="C28" i="832"/>
  <c r="D27" i="832"/>
  <c r="C27" i="832"/>
  <c r="D26" i="832"/>
  <c r="C26" i="832"/>
  <c r="D25" i="832"/>
  <c r="C25" i="832"/>
  <c r="B19" i="832"/>
  <c r="B18" i="832"/>
  <c r="B17" i="832"/>
  <c r="B16" i="832"/>
  <c r="I4" i="832"/>
  <c r="I3" i="832" s="1"/>
  <c r="F30" i="832"/>
  <c r="G30" i="832"/>
  <c r="E24" i="832"/>
  <c r="E23" i="832"/>
  <c r="E22" i="832"/>
  <c r="E21" i="832"/>
  <c r="E20" i="832"/>
  <c r="E19" i="832"/>
  <c r="E18" i="832"/>
  <c r="E17" i="832"/>
  <c r="E16" i="832"/>
  <c r="E15" i="832"/>
  <c r="E14" i="832"/>
  <c r="E13" i="832"/>
  <c r="E12" i="832"/>
  <c r="E11" i="832"/>
  <c r="E10" i="832"/>
  <c r="E9" i="832"/>
  <c r="E8" i="832"/>
  <c r="E7" i="832"/>
  <c r="E6" i="832"/>
  <c r="D30" i="832" l="1"/>
  <c r="R5" i="832" s="1"/>
  <c r="R6" i="832" s="1"/>
  <c r="I5" i="832"/>
  <c r="E28" i="832"/>
  <c r="C30" i="832"/>
  <c r="E26" i="832"/>
  <c r="E27" i="832"/>
  <c r="E29" i="832"/>
  <c r="E25" i="832"/>
  <c r="B30" i="832"/>
  <c r="E30" i="832" l="1"/>
  <c r="O3" i="832" s="1"/>
  <c r="O4" i="832" s="1"/>
  <c r="R8" i="832" s="1"/>
  <c r="R11" i="832" s="1"/>
  <c r="R14" i="832" s="1"/>
  <c r="R15" i="832" s="1"/>
  <c r="R16" i="832" s="1"/>
  <c r="R17" i="832" s="1"/>
  <c r="R18" i="832" s="1"/>
  <c r="R19" i="832" s="1"/>
  <c r="R20" i="832" s="1"/>
  <c r="R21" i="832" s="1"/>
  <c r="R22" i="832" s="1"/>
  <c r="R23" i="832" s="1"/>
  <c r="R24" i="832" s="1"/>
  <c r="R25" i="832" s="1"/>
  <c r="R26" i="832" s="1"/>
  <c r="R27" i="832" s="1"/>
  <c r="R28" i="832" s="1"/>
  <c r="R29" i="832" s="1"/>
  <c r="R30" i="832" s="1"/>
  <c r="R31" i="832" s="1"/>
  <c r="R32" i="832" s="1"/>
  <c r="R33" i="832" s="1"/>
  <c r="R34" i="832" s="1"/>
  <c r="R35" i="832" s="1"/>
  <c r="R36" i="832" s="1"/>
  <c r="R37" i="832" s="1"/>
  <c r="R38" i="832" s="1"/>
  <c r="T35" i="827" l="1"/>
  <c r="T36" i="827" s="1"/>
  <c r="F31" i="827"/>
  <c r="H31" i="827" s="1"/>
  <c r="F30" i="827"/>
  <c r="H30" i="827" s="1"/>
  <c r="E30" i="827"/>
  <c r="B30" i="827"/>
  <c r="B31" i="827" s="1"/>
  <c r="C29" i="827"/>
  <c r="D29" i="827" s="1"/>
  <c r="C28" i="827"/>
  <c r="D28" i="827" s="1"/>
  <c r="W27" i="827"/>
  <c r="C27" i="827"/>
  <c r="D27" i="827" s="1"/>
  <c r="C26" i="827"/>
  <c r="D26" i="827" s="1"/>
  <c r="C25" i="827"/>
  <c r="D25" i="827" s="1"/>
  <c r="C24" i="827"/>
  <c r="D24" i="827" s="1"/>
  <c r="C23" i="827"/>
  <c r="D23" i="827" s="1"/>
  <c r="C22" i="827"/>
  <c r="D22" i="827" s="1"/>
  <c r="C21" i="827"/>
  <c r="D21" i="827" s="1"/>
  <c r="W20" i="827"/>
  <c r="C20" i="827"/>
  <c r="D20" i="827" s="1"/>
  <c r="C19" i="827"/>
  <c r="D19" i="827" s="1"/>
  <c r="C18" i="827"/>
  <c r="D18" i="827" s="1"/>
  <c r="C17" i="827"/>
  <c r="D17" i="827" s="1"/>
  <c r="C16" i="827"/>
  <c r="D16" i="827" s="1"/>
  <c r="T15" i="827"/>
  <c r="T20" i="827" s="1"/>
  <c r="I15" i="827"/>
  <c r="C15" i="827"/>
  <c r="D15" i="827" s="1"/>
  <c r="C14" i="827"/>
  <c r="D14" i="827" s="1"/>
  <c r="C13" i="827"/>
  <c r="D13" i="827" s="1"/>
  <c r="C12" i="827"/>
  <c r="D12" i="827" s="1"/>
  <c r="C11" i="827"/>
  <c r="D11" i="827" s="1"/>
  <c r="C10" i="827"/>
  <c r="D10" i="827" s="1"/>
  <c r="K9" i="827"/>
  <c r="J9" i="827"/>
  <c r="I9" i="827"/>
  <c r="C9" i="827"/>
  <c r="D9" i="827" s="1"/>
  <c r="K8" i="827"/>
  <c r="J8" i="827"/>
  <c r="I8" i="827"/>
  <c r="C8" i="827"/>
  <c r="D8" i="827" s="1"/>
  <c r="K7" i="827"/>
  <c r="J7" i="827"/>
  <c r="I7" i="827"/>
  <c r="C7" i="827"/>
  <c r="D7" i="827" s="1"/>
  <c r="K6" i="827"/>
  <c r="J6" i="827"/>
  <c r="I6" i="827"/>
  <c r="C6" i="827"/>
  <c r="G5" i="827"/>
  <c r="G3" i="827"/>
  <c r="S68" i="826"/>
  <c r="S62" i="826"/>
  <c r="W59" i="826"/>
  <c r="X55" i="826"/>
  <c r="X50" i="826"/>
  <c r="S50" i="826"/>
  <c r="X49" i="826"/>
  <c r="S44" i="826"/>
  <c r="F31" i="826"/>
  <c r="H31" i="826" s="1"/>
  <c r="AB30" i="826"/>
  <c r="F30" i="826"/>
  <c r="H30" i="826" s="1"/>
  <c r="E30" i="826"/>
  <c r="AB29" i="826"/>
  <c r="C29" i="826"/>
  <c r="D29" i="826" s="1"/>
  <c r="AD28" i="826"/>
  <c r="V28" i="826"/>
  <c r="C28" i="826"/>
  <c r="D28" i="826" s="1"/>
  <c r="C27" i="826"/>
  <c r="D27" i="826" s="1"/>
  <c r="Y26" i="826"/>
  <c r="V26" i="826"/>
  <c r="C26" i="826"/>
  <c r="D26" i="826" s="1"/>
  <c r="C25" i="826"/>
  <c r="D25" i="826" s="1"/>
  <c r="C24" i="826"/>
  <c r="D24" i="826" s="1"/>
  <c r="C23" i="826"/>
  <c r="D23" i="826" s="1"/>
  <c r="AD22" i="826"/>
  <c r="AB22" i="826"/>
  <c r="V22" i="826"/>
  <c r="C22" i="826"/>
  <c r="D22" i="826" s="1"/>
  <c r="AK21" i="826"/>
  <c r="C21" i="826"/>
  <c r="D21" i="826" s="1"/>
  <c r="C20" i="826"/>
  <c r="D20" i="826" s="1"/>
  <c r="C19" i="826"/>
  <c r="D19" i="826" s="1"/>
  <c r="AD18" i="826"/>
  <c r="V18" i="826"/>
  <c r="C18" i="826"/>
  <c r="D18" i="826" s="1"/>
  <c r="Y17" i="826"/>
  <c r="Y28" i="826" s="1"/>
  <c r="C17" i="826"/>
  <c r="D17" i="826" s="1"/>
  <c r="C16" i="826"/>
  <c r="D16" i="826" s="1"/>
  <c r="S15" i="826"/>
  <c r="C15" i="826"/>
  <c r="D15" i="826" s="1"/>
  <c r="I14" i="826"/>
  <c r="C14" i="826"/>
  <c r="D14" i="826" s="1"/>
  <c r="S13" i="826"/>
  <c r="C13" i="826"/>
  <c r="D13" i="826" s="1"/>
  <c r="S12" i="826"/>
  <c r="C12" i="826"/>
  <c r="D12" i="826" s="1"/>
  <c r="C11" i="826"/>
  <c r="D11" i="826" s="1"/>
  <c r="C10" i="826"/>
  <c r="D10" i="826" s="1"/>
  <c r="K9" i="826"/>
  <c r="J9" i="826"/>
  <c r="I9" i="826"/>
  <c r="C9" i="826"/>
  <c r="D9" i="826" s="1"/>
  <c r="X8" i="826"/>
  <c r="W8" i="826"/>
  <c r="T8" i="826"/>
  <c r="U8" i="826" s="1"/>
  <c r="S8" i="826"/>
  <c r="S9" i="826" s="1"/>
  <c r="K8" i="826"/>
  <c r="J8" i="826"/>
  <c r="I8" i="826"/>
  <c r="C8" i="826"/>
  <c r="D8" i="826" s="1"/>
  <c r="T7" i="826"/>
  <c r="K7" i="826"/>
  <c r="J7" i="826"/>
  <c r="I7" i="826"/>
  <c r="C7" i="826"/>
  <c r="D7" i="826" s="1"/>
  <c r="K6" i="826"/>
  <c r="J6" i="826"/>
  <c r="I6" i="826"/>
  <c r="B6" i="826"/>
  <c r="B30" i="826" s="1"/>
  <c r="B31" i="826" s="1"/>
  <c r="AA5" i="826"/>
  <c r="AA7" i="826" s="1"/>
  <c r="W5" i="826"/>
  <c r="G5" i="826"/>
  <c r="G3" i="826"/>
  <c r="M2" i="826"/>
  <c r="V30" i="826" l="1"/>
  <c r="S70" i="826"/>
  <c r="C31" i="827"/>
  <c r="P5" i="827" s="1"/>
  <c r="P6" i="827" s="1"/>
  <c r="D6" i="827"/>
  <c r="W29" i="827"/>
  <c r="C30" i="827"/>
  <c r="T16" i="827"/>
  <c r="T27" i="827"/>
  <c r="AD30" i="826"/>
  <c r="S52" i="826"/>
  <c r="X57" i="826"/>
  <c r="C6" i="826"/>
  <c r="S16" i="826"/>
  <c r="S30" i="826" s="1"/>
  <c r="Y18" i="826"/>
  <c r="Y22" i="826"/>
  <c r="T29" i="827" l="1"/>
  <c r="Y30" i="826"/>
  <c r="M3" i="827"/>
  <c r="M4" i="827" s="1"/>
  <c r="P8" i="827" s="1"/>
  <c r="P11" i="827" s="1"/>
  <c r="P14" i="827" s="1"/>
  <c r="P15" i="827" s="1"/>
  <c r="P16" i="827" s="1"/>
  <c r="P17" i="827" s="1"/>
  <c r="P18" i="827" s="1"/>
  <c r="P19" i="827" s="1"/>
  <c r="P20" i="827" s="1"/>
  <c r="P21" i="827" s="1"/>
  <c r="P22" i="827" s="1"/>
  <c r="P23" i="827" s="1"/>
  <c r="P24" i="827" s="1"/>
  <c r="P25" i="827" s="1"/>
  <c r="P26" i="827" s="1"/>
  <c r="P27" i="827" s="1"/>
  <c r="P28" i="827" s="1"/>
  <c r="P29" i="827" s="1"/>
  <c r="P30" i="827" s="1"/>
  <c r="P31" i="827" s="1"/>
  <c r="P32" i="827" s="1"/>
  <c r="P33" i="827" s="1"/>
  <c r="P34" i="827" s="1"/>
  <c r="P35" i="827" s="1"/>
  <c r="P36" i="827" s="1"/>
  <c r="P37" i="827" s="1"/>
  <c r="P38" i="827" s="1"/>
  <c r="D30" i="827"/>
  <c r="C31" i="826"/>
  <c r="P5" i="826" s="1"/>
  <c r="P6" i="826" s="1"/>
  <c r="C30" i="826"/>
  <c r="D6" i="826"/>
  <c r="S28" i="826"/>
  <c r="D30" i="826" l="1"/>
  <c r="M3" i="826"/>
  <c r="P8" i="826" l="1"/>
  <c r="P11" i="826" s="1"/>
  <c r="P14" i="826" s="1"/>
  <c r="P15" i="826" s="1"/>
  <c r="P16" i="826" s="1"/>
  <c r="P17" i="826" s="1"/>
  <c r="P18" i="826" s="1"/>
  <c r="P19" i="826" s="1"/>
  <c r="P20" i="826" s="1"/>
  <c r="P21" i="826" s="1"/>
  <c r="P22" i="826" s="1"/>
  <c r="P23" i="826" s="1"/>
  <c r="P24" i="826" s="1"/>
  <c r="P25" i="826" s="1"/>
  <c r="P26" i="826" s="1"/>
  <c r="P27" i="826" s="1"/>
  <c r="P28" i="826" s="1"/>
  <c r="P29" i="826" s="1"/>
  <c r="P30" i="826" s="1"/>
  <c r="P31" i="826" s="1"/>
  <c r="P32" i="826" s="1"/>
  <c r="P33" i="826" s="1"/>
  <c r="P34" i="826" s="1"/>
  <c r="P35" i="826" s="1"/>
  <c r="P36" i="826" s="1"/>
  <c r="P37" i="826" s="1"/>
  <c r="P38" i="826" s="1"/>
  <c r="M4" i="826"/>
  <c r="X8" i="617" l="1"/>
  <c r="Y17" i="617"/>
  <c r="Y28" i="617" s="1"/>
  <c r="Y26" i="617"/>
  <c r="V26" i="617"/>
  <c r="S15" i="617"/>
  <c r="Y22" i="617" l="1"/>
  <c r="Y18" i="617"/>
  <c r="S16" i="617" l="1"/>
  <c r="S28" i="617" s="1"/>
  <c r="S68" i="617" l="1"/>
  <c r="S62" i="617"/>
  <c r="W59" i="617"/>
  <c r="X55" i="617"/>
  <c r="X50" i="617"/>
  <c r="S50" i="617"/>
  <c r="X49" i="617"/>
  <c r="S44" i="617"/>
  <c r="F31" i="617"/>
  <c r="H31" i="617" s="1"/>
  <c r="AB30" i="617"/>
  <c r="S30" i="617"/>
  <c r="F30" i="617"/>
  <c r="H30" i="617" s="1"/>
  <c r="E30" i="617"/>
  <c r="AB29" i="617"/>
  <c r="C29" i="617"/>
  <c r="D29" i="617" s="1"/>
  <c r="AD28" i="617"/>
  <c r="V28" i="617"/>
  <c r="C28" i="617"/>
  <c r="D28" i="617" s="1"/>
  <c r="C27" i="617"/>
  <c r="D27" i="617" s="1"/>
  <c r="C26" i="617"/>
  <c r="D26" i="617" s="1"/>
  <c r="C25" i="617"/>
  <c r="D25" i="617" s="1"/>
  <c r="C24" i="617"/>
  <c r="D24" i="617" s="1"/>
  <c r="C23" i="617"/>
  <c r="D23" i="617" s="1"/>
  <c r="AD22" i="617"/>
  <c r="AB22" i="617"/>
  <c r="V22" i="617"/>
  <c r="C22" i="617"/>
  <c r="D22" i="617" s="1"/>
  <c r="AK21" i="617"/>
  <c r="C21" i="617"/>
  <c r="D21" i="617" s="1"/>
  <c r="C20" i="617"/>
  <c r="D20" i="617" s="1"/>
  <c r="C19" i="617"/>
  <c r="D19" i="617" s="1"/>
  <c r="AD18" i="617"/>
  <c r="V18" i="617"/>
  <c r="C18" i="617"/>
  <c r="D18" i="617" s="1"/>
  <c r="C17" i="617"/>
  <c r="D17" i="617" s="1"/>
  <c r="C16" i="617"/>
  <c r="D16" i="617" s="1"/>
  <c r="C15" i="617"/>
  <c r="D15" i="617" s="1"/>
  <c r="I14" i="617"/>
  <c r="C14" i="617"/>
  <c r="D14" i="617" s="1"/>
  <c r="S13" i="617"/>
  <c r="C13" i="617"/>
  <c r="D13" i="617" s="1"/>
  <c r="S12" i="617"/>
  <c r="C12" i="617"/>
  <c r="D12" i="617" s="1"/>
  <c r="C11" i="617"/>
  <c r="D11" i="617" s="1"/>
  <c r="C10" i="617"/>
  <c r="D10" i="617" s="1"/>
  <c r="K9" i="617"/>
  <c r="J9" i="617"/>
  <c r="I9" i="617"/>
  <c r="C9" i="617"/>
  <c r="D9" i="617" s="1"/>
  <c r="W8" i="617"/>
  <c r="T8" i="617"/>
  <c r="U8" i="617" s="1"/>
  <c r="S8" i="617"/>
  <c r="S9" i="617" s="1"/>
  <c r="K8" i="617"/>
  <c r="J8" i="617"/>
  <c r="I8" i="617"/>
  <c r="C8" i="617"/>
  <c r="D8" i="617" s="1"/>
  <c r="T7" i="617"/>
  <c r="K7" i="617"/>
  <c r="J7" i="617"/>
  <c r="I7" i="617"/>
  <c r="C7" i="617"/>
  <c r="D7" i="617" s="1"/>
  <c r="K6" i="617"/>
  <c r="J6" i="617"/>
  <c r="I6" i="617"/>
  <c r="B6" i="617"/>
  <c r="B30" i="617" s="1"/>
  <c r="B31" i="617" s="1"/>
  <c r="AA5" i="617"/>
  <c r="AA7" i="617" s="1"/>
  <c r="W5" i="617"/>
  <c r="G5" i="617"/>
  <c r="G3" i="617"/>
  <c r="M2" i="617"/>
  <c r="S70" i="617" l="1"/>
  <c r="X57" i="617"/>
  <c r="Y30" i="617"/>
  <c r="AD30" i="617"/>
  <c r="S52" i="617"/>
  <c r="V30" i="617"/>
  <c r="C6" i="617"/>
  <c r="C31" i="617" l="1"/>
  <c r="P5" i="617" s="1"/>
  <c r="P6" i="617" s="1"/>
  <c r="C30" i="617"/>
  <c r="D6" i="617"/>
  <c r="M3" i="617" l="1"/>
  <c r="P8" i="617" s="1"/>
  <c r="D30" i="617"/>
  <c r="P11" i="617" l="1"/>
  <c r="P14" i="617" s="1"/>
  <c r="P15" i="617" s="1"/>
  <c r="P16" i="617" s="1"/>
  <c r="P17" i="617" s="1"/>
  <c r="P18" i="617" s="1"/>
  <c r="P19" i="617" s="1"/>
  <c r="P20" i="617" s="1"/>
  <c r="P21" i="617" s="1"/>
  <c r="P22" i="617" s="1"/>
  <c r="P23" i="617" s="1"/>
  <c r="P24" i="617" s="1"/>
  <c r="P25" i="617" s="1"/>
  <c r="P26" i="617" s="1"/>
  <c r="P27" i="617" s="1"/>
  <c r="P28" i="617" s="1"/>
  <c r="P29" i="617" s="1"/>
  <c r="P30" i="617" s="1"/>
  <c r="P31" i="617" s="1"/>
  <c r="P32" i="617" s="1"/>
  <c r="P33" i="617" s="1"/>
  <c r="P34" i="617" s="1"/>
  <c r="P35" i="617" s="1"/>
  <c r="P36" i="617" s="1"/>
  <c r="P37" i="617" s="1"/>
  <c r="P38" i="617" s="1"/>
  <c r="M4" i="617"/>
  <c r="T15" i="11" l="1"/>
  <c r="T16" i="11" s="1"/>
  <c r="T35" i="11" l="1"/>
  <c r="T36" i="11" s="1"/>
  <c r="F31" i="11" l="1"/>
  <c r="H31" i="11" s="1"/>
  <c r="F30" i="11"/>
  <c r="H30" i="11" s="1"/>
  <c r="E30" i="11"/>
  <c r="B30" i="11"/>
  <c r="B31" i="11" s="1"/>
  <c r="C29" i="11"/>
  <c r="D29" i="11" s="1"/>
  <c r="C28" i="11"/>
  <c r="D28" i="11" s="1"/>
  <c r="W27" i="11"/>
  <c r="T27" i="1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W20" i="11"/>
  <c r="T20" i="11"/>
  <c r="C20" i="11"/>
  <c r="D20" i="11" s="1"/>
  <c r="C19" i="11"/>
  <c r="D19" i="11" s="1"/>
  <c r="C18" i="11"/>
  <c r="D18" i="11" s="1"/>
  <c r="C17" i="11"/>
  <c r="D17" i="11" s="1"/>
  <c r="C16" i="11"/>
  <c r="D16" i="11" s="1"/>
  <c r="I15" i="1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K9" i="11"/>
  <c r="J9" i="11"/>
  <c r="I9" i="11"/>
  <c r="C9" i="11"/>
  <c r="D9" i="11" s="1"/>
  <c r="K8" i="11"/>
  <c r="J8" i="11"/>
  <c r="I8" i="11"/>
  <c r="C8" i="11"/>
  <c r="D8" i="11" s="1"/>
  <c r="K7" i="11"/>
  <c r="J7" i="11"/>
  <c r="I7" i="11"/>
  <c r="C7" i="11"/>
  <c r="K6" i="11"/>
  <c r="J6" i="11"/>
  <c r="I6" i="11"/>
  <c r="C6" i="11"/>
  <c r="D6" i="11" s="1"/>
  <c r="G5" i="11"/>
  <c r="G3" i="11"/>
  <c r="T29" i="11" l="1"/>
  <c r="W29" i="11"/>
  <c r="C30" i="11"/>
  <c r="D30" i="11" s="1"/>
  <c r="C31" i="11"/>
  <c r="P5" i="11" s="1"/>
  <c r="P6" i="11" s="1"/>
  <c r="D7" i="11"/>
  <c r="M3" i="11" l="1"/>
  <c r="M4" i="11" s="1"/>
  <c r="P8" i="11" s="1"/>
  <c r="P11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A30" i="1816" l="1"/>
  <c r="A31" i="1816"/>
  <c r="A32" i="1816" l="1"/>
  <c r="A34" i="1816" s="1"/>
  <c r="C14" i="1816" s="1"/>
</calcChain>
</file>

<file path=xl/sharedStrings.xml><?xml version="1.0" encoding="utf-8"?>
<sst xmlns="http://schemas.openxmlformats.org/spreadsheetml/2006/main" count="1835" uniqueCount="167">
  <si>
    <t>Name:</t>
  </si>
  <si>
    <t>Appt:</t>
  </si>
  <si>
    <t>Hire Date</t>
  </si>
  <si>
    <t xml:space="preserve">Whichever is the less </t>
  </si>
  <si>
    <t>No:</t>
  </si>
  <si>
    <t>Birthdate</t>
  </si>
  <si>
    <t>Date</t>
  </si>
  <si>
    <t>Salary</t>
  </si>
  <si>
    <t>EE RA</t>
  </si>
  <si>
    <t>ER RA</t>
  </si>
  <si>
    <t>SRA - 403b</t>
  </si>
  <si>
    <t>Annual Salary:</t>
  </si>
  <si>
    <t>Adjusted SRA</t>
  </si>
  <si>
    <t>Maximum SRA</t>
  </si>
  <si>
    <t>15 year provision (1 of 5)</t>
  </si>
  <si>
    <t>DD/MM/YY</t>
  </si>
  <si>
    <t>$</t>
  </si>
  <si>
    <t>Monthly Salary</t>
  </si>
  <si>
    <t>$20.5K or $15.5K</t>
  </si>
  <si>
    <t>$45K</t>
  </si>
  <si>
    <t>Age 50 catchup</t>
  </si>
  <si>
    <t>A</t>
  </si>
  <si>
    <t>B</t>
  </si>
  <si>
    <t>C = B/2*0.10</t>
  </si>
  <si>
    <t>D = C</t>
  </si>
  <si>
    <t>E</t>
  </si>
  <si>
    <t>Paycyle Salary</t>
  </si>
  <si>
    <t>I</t>
  </si>
  <si>
    <t>J</t>
  </si>
  <si>
    <t>2.5% Vol RA</t>
  </si>
  <si>
    <t>Maximum to SRA</t>
  </si>
  <si>
    <t>Lesser of P5 or P9</t>
  </si>
  <si>
    <t xml:space="preserve"> </t>
  </si>
  <si>
    <t>Total</t>
  </si>
  <si>
    <t>Max Total</t>
  </si>
  <si>
    <t>Difference</t>
  </si>
  <si>
    <t>Year 2010</t>
  </si>
  <si>
    <t>F=C+D+E</t>
  </si>
  <si>
    <t>G</t>
  </si>
  <si>
    <t>H = G - F</t>
  </si>
  <si>
    <t>Year 2011</t>
  </si>
  <si>
    <t>Total*0.25</t>
  </si>
  <si>
    <t xml:space="preserve">Add'l amount that c/b contr.  to VIP = </t>
  </si>
  <si>
    <t>Annual Comp Limit</t>
  </si>
  <si>
    <t>Amount left to SRA</t>
  </si>
  <si>
    <t>OR</t>
  </si>
  <si>
    <t>C = B/2*0.075</t>
  </si>
  <si>
    <t>Susmita Bose</t>
  </si>
  <si>
    <t>C = B/2*0..05</t>
  </si>
  <si>
    <t>9 mth, usually works summer</t>
  </si>
  <si>
    <t>V. Manoranjan</t>
  </si>
  <si>
    <t>Emile "Mel" Netzhammer</t>
  </si>
  <si>
    <t>WSURP</t>
  </si>
  <si>
    <t>DCP</t>
  </si>
  <si>
    <t>OASI</t>
  </si>
  <si>
    <t>Medical Aid</t>
  </si>
  <si>
    <t>LTD</t>
  </si>
  <si>
    <t>Life</t>
  </si>
  <si>
    <t>Combined Giving</t>
  </si>
  <si>
    <t>Medicare</t>
  </si>
  <si>
    <t>Anne LaFrance</t>
  </si>
  <si>
    <t>Max request on file, 6/2015</t>
  </si>
  <si>
    <t>VIP</t>
  </si>
  <si>
    <t>HAS</t>
  </si>
  <si>
    <t>UMP CDHP</t>
  </si>
  <si>
    <t>Gail Casper</t>
  </si>
  <si>
    <t>If all VIP was pre-tax</t>
  </si>
  <si>
    <t>85% Roth, 15% pre-tax</t>
  </si>
  <si>
    <t>FIT</t>
  </si>
  <si>
    <t>This was the most her salary could carry for 2015</t>
  </si>
  <si>
    <t>WSECU</t>
  </si>
  <si>
    <t>VEBA</t>
  </si>
  <si>
    <t>Add'l FIT</t>
  </si>
  <si>
    <t>Parking</t>
  </si>
  <si>
    <t>SRC</t>
  </si>
  <si>
    <t>Medical Premium</t>
  </si>
  <si>
    <t>Social security taxes are taken from the Gross - tax deferred contributions, except retirement</t>
  </si>
  <si>
    <t>FSA</t>
  </si>
  <si>
    <t>Bandyopadhyay, Amit</t>
  </si>
  <si>
    <t>Ding, Jow-Lian</t>
  </si>
  <si>
    <t>Donald Bender</t>
  </si>
  <si>
    <t>PERS 2</t>
  </si>
  <si>
    <t>Lloyd Smith</t>
  </si>
  <si>
    <t>Noel Schulz</t>
  </si>
  <si>
    <t>Retirement</t>
  </si>
  <si>
    <t>Medical</t>
  </si>
  <si>
    <t xml:space="preserve">Retirment </t>
  </si>
  <si>
    <t>ALP</t>
  </si>
  <si>
    <t>Payout</t>
  </si>
  <si>
    <t>Essentially you are correct, but we have to tax the gross as well. I calculate it a different way, the payout minus the retirement contributions is the gross that gets taxed, (35000-31515)= 3485.00 to be taxed at 25% = 871.25</t>
  </si>
  <si>
    <t xml:space="preserve">We then subtract all the deductions to make sure we get a positive net. Hard to explain over email, but hopefully I make sense! </t>
  </si>
  <si>
    <t>Per Mayra - 9/19/17</t>
  </si>
  <si>
    <t xml:space="preserve">For Settlements and Payouts: </t>
  </si>
  <si>
    <t>18.5K or 24.5K only</t>
  </si>
  <si>
    <t>Faculty</t>
  </si>
  <si>
    <t>Ethridge, Kami (Mary C)</t>
  </si>
  <si>
    <t>Annual Compensation Limit (401(a)(17)) = $285,000</t>
  </si>
  <si>
    <t>Elective contribution limits (402(g) and catch-up limits 414(v)) = $19,500</t>
  </si>
  <si>
    <t>Maximum EE and ER contriubtions (415(c)(1)(A) = $57,000</t>
  </si>
  <si>
    <t>DCP - 457b</t>
  </si>
  <si>
    <t>If above reaches $56K, they can still</t>
  </si>
  <si>
    <t>56K limit left for SRA amt</t>
  </si>
  <si>
    <t xml:space="preserve">56K 415 limit </t>
  </si>
  <si>
    <t>PFML</t>
  </si>
  <si>
    <t>Liberty Mutual</t>
  </si>
  <si>
    <t>Age 50 catch up = $6500</t>
  </si>
  <si>
    <t>Shock Physics</t>
  </si>
  <si>
    <t>do the $6500 catchup into VIP</t>
  </si>
  <si>
    <t>Judith McDonald</t>
  </si>
  <si>
    <t>Annual Compensation Limit (401(a)(17)) = $290,000</t>
  </si>
  <si>
    <t>If above reaches $57K, they can still</t>
  </si>
  <si>
    <t>Kendra</t>
  </si>
  <si>
    <t>Maximum EE and ER contriubtions (415(c)(1)(A) = $58,000</t>
  </si>
  <si>
    <t>Jill McCluskey</t>
  </si>
  <si>
    <t>Yijun He</t>
  </si>
  <si>
    <t>489-08-9440</t>
  </si>
  <si>
    <t>If above reaches $58K, they can still</t>
  </si>
  <si>
    <t>C = B/2*0.025</t>
  </si>
  <si>
    <t>E=C+D</t>
  </si>
  <si>
    <t>7.5% Diff</t>
  </si>
  <si>
    <t>2.5% Diff</t>
  </si>
  <si>
    <t xml:space="preserve">Older cases that may need to be checked too. </t>
  </si>
  <si>
    <t>403b - Roth</t>
  </si>
  <si>
    <t>elhamm</t>
  </si>
  <si>
    <t>Michael Jordan</t>
  </si>
  <si>
    <t xml:space="preserve">ER portion owed. </t>
  </si>
  <si>
    <t>C = B*0.075</t>
  </si>
  <si>
    <t>C = B*0.025</t>
  </si>
  <si>
    <t xml:space="preserve">Difference </t>
  </si>
  <si>
    <t>Hergen Eilers</t>
  </si>
  <si>
    <t xml:space="preserve">Double check -- Not sure this is correct? </t>
  </si>
  <si>
    <t>C = B*0.05</t>
  </si>
  <si>
    <t>dd</t>
  </si>
  <si>
    <t>Cortney Franklin</t>
  </si>
  <si>
    <t xml:space="preserve">Not sure why an additional refund was issued? </t>
  </si>
  <si>
    <t>Oscar Flores</t>
  </si>
  <si>
    <t>Duncan Thomas</t>
  </si>
  <si>
    <t>120.60</t>
  </si>
  <si>
    <t>What shb</t>
  </si>
  <si>
    <t>collected</t>
  </si>
  <si>
    <t>What  shb</t>
  </si>
  <si>
    <t xml:space="preserve">10/10 - subtracted ALP from total gross. </t>
  </si>
  <si>
    <t>June Sanders</t>
  </si>
  <si>
    <t>$130.47-credited on 10/25 check as WSURP 2.5%</t>
  </si>
  <si>
    <t>Two payslips, one for hourly pay-both took WSURP deductions</t>
  </si>
  <si>
    <t>Maximum Overall EE and ER contributions to a 403b account</t>
  </si>
  <si>
    <t>Anticipated Annual Salary</t>
  </si>
  <si>
    <t>Anticipated 7.5% EE WSURP Contribution</t>
  </si>
  <si>
    <t>Anticipated 7.5% ER WSURP Contribution</t>
  </si>
  <si>
    <t>Remaining amount that can be contributed to VIP for rest of year</t>
  </si>
  <si>
    <t>*No. of pay periods left in the year</t>
  </si>
  <si>
    <t>Maximum $$ contribution for remainder of year</t>
  </si>
  <si>
    <t>Maximum VIP EE only contributions allowed for the year</t>
  </si>
  <si>
    <t>IRS Voluntary Contribution Maximum amount</t>
  </si>
  <si>
    <t xml:space="preserve">VIP YTD Contribution as of paycheck dated </t>
  </si>
  <si>
    <t>Enter the following information:</t>
  </si>
  <si>
    <t>VIP YTD Contribution as of your last paycheck</t>
  </si>
  <si>
    <t>*No of pay period left in the year</t>
  </si>
  <si>
    <t>* Indivdiuals on less than a 12 month appointments, enter the number of paychecks left during your regular appointment, as well as any possible paychecks you will receive over your appointment break.</t>
  </si>
  <si>
    <t xml:space="preserve">Visit the WSU/TIAA Payroll Calendar to identify the submission deadlines: https://www.tiaa.org/public/pdf/washington-state-university-payroll-calendar.pdf  </t>
  </si>
  <si>
    <t xml:space="preserve">The following portion will be hid once this is posted on the website as a resource. </t>
  </si>
  <si>
    <t>Maximum per paycheck dollar contribution allowed for remainder of year</t>
  </si>
  <si>
    <t>VIP Calculator for WSURP participants, age 35 thru 49</t>
  </si>
  <si>
    <t>Maximum 7.5% Required WSURP Contribution, based on annual compensation limit of $345000</t>
  </si>
  <si>
    <t xml:space="preserve">The 2025 voluntary contribution IRS limit is $23,500, with those who are age 50 or more being able to contribute an additional $7,500 as the age 50 Catch-Up Contribution. (402(g), and 414(v))
Other IRS limits that may impact the maximum VIP contribution include for WSURP participants:
   - Maximum employee and employer contributions to any 403b plan cannot exceed $70,000  (415(c))
   - Annual Compensation Limit from which WSURP contributions can be collected is $350,000 (401(1)) </t>
  </si>
  <si>
    <t>Anticipated 2025 Annual Salary</t>
  </si>
  <si>
    <t>The lesser of this number OR $23.5K is what can be contributed to the Voluntary Investment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</si>
</sst>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000\-00\-0000"/>
    <numFmt numFmtId="166" formatCode="0.00000"/>
    <numFmt numFmtId="167" formatCode="0.000"/>
    <numFmt numFmtId="168" formatCode="#,##0.00;\(#,##0.00\)"/>
    <numFmt numFmtId="169" formatCode="&quot;$&quot;#,##0.00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3366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i/>
      <sz val="1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u/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StoneSans"/>
      <family val="2"/>
    </font>
    <font>
      <b/>
      <sz val="10"/>
      <color rgb="FF0000FF"/>
      <name val="Arial"/>
      <family val="2"/>
    </font>
    <font>
      <b/>
      <sz val="9"/>
      <color rgb="FFCC0099"/>
      <name val="Arial"/>
      <family val="2"/>
    </font>
    <font>
      <b/>
      <sz val="8"/>
      <color rgb="FFCC0099"/>
      <name val="Arial"/>
      <family val="2"/>
    </font>
    <font>
      <b/>
      <sz val="8"/>
      <color rgb="FFFF00FF"/>
      <name val="Arial"/>
      <family val="2"/>
    </font>
    <font>
      <sz val="8"/>
      <color rgb="FFFF00FF"/>
      <name val="Arial"/>
      <family val="2"/>
    </font>
    <font>
      <i/>
      <sz val="8"/>
      <color rgb="FFFF00FF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rgb="FF4A4A4A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366FF"/>
      <name val="Calibri"/>
      <family val="2"/>
    </font>
    <font>
      <sz val="11"/>
      <color rgb="FF4A4A4A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4" fillId="0" borderId="0"/>
    <xf numFmtId="0" fontId="24" fillId="0" borderId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33" applyNumberFormat="0" applyAlignment="0" applyProtection="0"/>
    <xf numFmtId="0" fontId="34" fillId="9" borderId="34" applyNumberFormat="0" applyAlignment="0" applyProtection="0"/>
    <xf numFmtId="0" fontId="35" fillId="9" borderId="33" applyNumberFormat="0" applyAlignment="0" applyProtection="0"/>
    <xf numFmtId="0" fontId="36" fillId="0" borderId="35" applyNumberFormat="0" applyFill="0" applyAlignment="0" applyProtection="0"/>
    <xf numFmtId="0" fontId="37" fillId="10" borderId="36" applyNumberFormat="0" applyAlignment="0" applyProtection="0"/>
    <xf numFmtId="0" fontId="22" fillId="0" borderId="0" applyNumberFormat="0" applyFill="0" applyBorder="0" applyAlignment="0" applyProtection="0"/>
    <xf numFmtId="0" fontId="24" fillId="11" borderId="3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8" applyNumberFormat="0" applyFill="0" applyAlignment="0" applyProtection="0"/>
    <xf numFmtId="0" fontId="4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0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1" fillId="0" borderId="0" xfId="1" applyAlignment="1">
      <alignment horizontal="right"/>
    </xf>
    <xf numFmtId="0" fontId="3" fillId="0" borderId="1" xfId="1" applyFont="1" applyBorder="1"/>
    <xf numFmtId="0" fontId="4" fillId="0" borderId="0" xfId="1" applyFont="1"/>
    <xf numFmtId="164" fontId="5" fillId="2" borderId="0" xfId="1" applyNumberFormat="1" applyFont="1" applyFill="1"/>
    <xf numFmtId="0" fontId="1" fillId="0" borderId="0" xfId="1"/>
    <xf numFmtId="0" fontId="1" fillId="0" borderId="1" xfId="1" applyBorder="1"/>
    <xf numFmtId="0" fontId="1" fillId="0" borderId="3" xfId="1" applyBorder="1" applyAlignment="1">
      <alignment horizontal="center"/>
    </xf>
    <xf numFmtId="2" fontId="6" fillId="0" borderId="5" xfId="1" applyNumberFormat="1" applyFont="1" applyBorder="1"/>
    <xf numFmtId="0" fontId="1" fillId="0" borderId="6" xfId="1" applyBorder="1"/>
    <xf numFmtId="0" fontId="1" fillId="0" borderId="7" xfId="1" applyBorder="1"/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8" xfId="1" applyBorder="1" applyAlignment="1">
      <alignment horizontal="center"/>
    </xf>
    <xf numFmtId="2" fontId="1" fillId="0" borderId="9" xfId="1" applyNumberFormat="1" applyBorder="1"/>
    <xf numFmtId="0" fontId="1" fillId="0" borderId="10" xfId="1" applyBorder="1"/>
    <xf numFmtId="0" fontId="3" fillId="0" borderId="0" xfId="1" applyFont="1"/>
    <xf numFmtId="0" fontId="1" fillId="0" borderId="8" xfId="1" applyBorder="1"/>
    <xf numFmtId="0" fontId="5" fillId="2" borderId="0" xfId="1" applyFont="1" applyFill="1"/>
    <xf numFmtId="2" fontId="1" fillId="0" borderId="11" xfId="1" applyNumberFormat="1" applyBorder="1"/>
    <xf numFmtId="0" fontId="1" fillId="0" borderId="12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6" fontId="1" fillId="0" borderId="8" xfId="1" applyNumberFormat="1" applyBorder="1"/>
    <xf numFmtId="0" fontId="2" fillId="0" borderId="8" xfId="1" applyFont="1" applyBorder="1"/>
    <xf numFmtId="2" fontId="1" fillId="0" borderId="15" xfId="1" applyNumberFormat="1" applyBorder="1"/>
    <xf numFmtId="2" fontId="1" fillId="0" borderId="8" xfId="1" applyNumberFormat="1" applyBorder="1"/>
    <xf numFmtId="0" fontId="3" fillId="0" borderId="8" xfId="1" applyFont="1" applyBorder="1"/>
    <xf numFmtId="0" fontId="2" fillId="0" borderId="0" xfId="1" applyFont="1"/>
    <xf numFmtId="0" fontId="7" fillId="0" borderId="1" xfId="1" applyFont="1" applyBorder="1"/>
    <xf numFmtId="2" fontId="7" fillId="0" borderId="8" xfId="1" applyNumberFormat="1" applyFont="1" applyBorder="1"/>
    <xf numFmtId="2" fontId="1" fillId="0" borderId="0" xfId="1" applyNumberFormat="1"/>
    <xf numFmtId="0" fontId="1" fillId="0" borderId="16" xfId="1" applyBorder="1"/>
    <xf numFmtId="2" fontId="1" fillId="0" borderId="5" xfId="1" applyNumberFormat="1" applyBorder="1"/>
    <xf numFmtId="0" fontId="1" fillId="0" borderId="17" xfId="1" applyBorder="1"/>
    <xf numFmtId="2" fontId="5" fillId="0" borderId="0" xfId="1" applyNumberFormat="1" applyFont="1"/>
    <xf numFmtId="0" fontId="5" fillId="0" borderId="0" xfId="1" applyFont="1"/>
    <xf numFmtId="0" fontId="1" fillId="0" borderId="18" xfId="1" applyBorder="1"/>
    <xf numFmtId="2" fontId="1" fillId="0" borderId="19" xfId="1" applyNumberFormat="1" applyBorder="1"/>
    <xf numFmtId="0" fontId="1" fillId="0" borderId="20" xfId="1" applyBorder="1"/>
    <xf numFmtId="0" fontId="1" fillId="0" borderId="5" xfId="1" applyBorder="1"/>
    <xf numFmtId="16" fontId="1" fillId="0" borderId="0" xfId="1" applyNumberFormat="1"/>
    <xf numFmtId="0" fontId="1" fillId="0" borderId="10" xfId="1" applyBorder="1" applyAlignment="1">
      <alignment horizontal="right"/>
    </xf>
    <xf numFmtId="16" fontId="3" fillId="0" borderId="0" xfId="1" applyNumberFormat="1" applyFont="1"/>
    <xf numFmtId="2" fontId="8" fillId="0" borderId="0" xfId="1" applyNumberFormat="1" applyFont="1"/>
    <xf numFmtId="0" fontId="8" fillId="0" borderId="0" xfId="1" applyFont="1"/>
    <xf numFmtId="0" fontId="9" fillId="0" borderId="0" xfId="1" applyFont="1"/>
    <xf numFmtId="1" fontId="8" fillId="0" borderId="0" xfId="1" applyNumberFormat="1" applyFont="1" applyAlignment="1">
      <alignment horizontal="center"/>
    </xf>
    <xf numFmtId="0" fontId="10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2" fontId="7" fillId="0" borderId="0" xfId="1" applyNumberFormat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8" fillId="0" borderId="0" xfId="1" applyFont="1" applyAlignment="1">
      <alignment horizontal="center"/>
    </xf>
    <xf numFmtId="0" fontId="13" fillId="0" borderId="0" xfId="1" applyFont="1"/>
    <xf numFmtId="0" fontId="1" fillId="0" borderId="26" xfId="1" applyBorder="1" applyAlignment="1">
      <alignment horizontal="right"/>
    </xf>
    <xf numFmtId="2" fontId="1" fillId="0" borderId="23" xfId="1" applyNumberFormat="1" applyBorder="1"/>
    <xf numFmtId="2" fontId="1" fillId="0" borderId="27" xfId="1" applyNumberFormat="1" applyBorder="1"/>
    <xf numFmtId="2" fontId="8" fillId="0" borderId="23" xfId="1" applyNumberFormat="1" applyFont="1" applyBorder="1"/>
    <xf numFmtId="2" fontId="10" fillId="0" borderId="23" xfId="1" applyNumberFormat="1" applyFont="1" applyBorder="1"/>
    <xf numFmtId="0" fontId="1" fillId="0" borderId="28" xfId="1" applyBorder="1"/>
    <xf numFmtId="2" fontId="1" fillId="0" borderId="29" xfId="1" applyNumberFormat="1" applyBorder="1"/>
    <xf numFmtId="2" fontId="7" fillId="0" borderId="29" xfId="1" applyNumberFormat="1" applyFont="1" applyBorder="1"/>
    <xf numFmtId="2" fontId="8" fillId="0" borderId="29" xfId="1" applyNumberFormat="1" applyFont="1" applyBorder="1"/>
    <xf numFmtId="2" fontId="10" fillId="0" borderId="29" xfId="1" applyNumberFormat="1" applyFont="1" applyBorder="1"/>
    <xf numFmtId="16" fontId="8" fillId="0" borderId="0" xfId="1" applyNumberFormat="1" applyFont="1" applyAlignment="1">
      <alignment horizontal="left"/>
    </xf>
    <xf numFmtId="2" fontId="8" fillId="0" borderId="0" xfId="1" applyNumberFormat="1" applyFont="1" applyAlignment="1">
      <alignment horizontal="left"/>
    </xf>
    <xf numFmtId="2" fontId="13" fillId="0" borderId="0" xfId="1" applyNumberFormat="1" applyFont="1"/>
    <xf numFmtId="16" fontId="1" fillId="0" borderId="21" xfId="1" applyNumberFormat="1" applyBorder="1"/>
    <xf numFmtId="16" fontId="13" fillId="0" borderId="0" xfId="1" applyNumberFormat="1" applyFont="1"/>
    <xf numFmtId="164" fontId="15" fillId="2" borderId="0" xfId="1" applyNumberFormat="1" applyFont="1" applyFill="1"/>
    <xf numFmtId="0" fontId="16" fillId="0" borderId="6" xfId="1" applyFont="1" applyBorder="1"/>
    <xf numFmtId="0" fontId="15" fillId="2" borderId="0" xfId="1" applyFont="1" applyFill="1"/>
    <xf numFmtId="2" fontId="6" fillId="0" borderId="0" xfId="1" applyNumberFormat="1" applyFont="1"/>
    <xf numFmtId="0" fontId="6" fillId="0" borderId="0" xfId="1" applyFont="1"/>
    <xf numFmtId="2" fontId="5" fillId="0" borderId="9" xfId="1" applyNumberFormat="1" applyFont="1" applyBorder="1"/>
    <xf numFmtId="0" fontId="5" fillId="0" borderId="10" xfId="1" applyFont="1" applyBorder="1"/>
    <xf numFmtId="0" fontId="17" fillId="3" borderId="0" xfId="1" applyFont="1" applyFill="1"/>
    <xf numFmtId="0" fontId="18" fillId="3" borderId="0" xfId="1" applyFont="1" applyFill="1"/>
    <xf numFmtId="0" fontId="19" fillId="3" borderId="3" xfId="1" applyFont="1" applyFill="1" applyBorder="1"/>
    <xf numFmtId="0" fontId="19" fillId="3" borderId="4" xfId="1" applyFont="1" applyFill="1" applyBorder="1"/>
    <xf numFmtId="0" fontId="19" fillId="3" borderId="0" xfId="1" applyFont="1" applyFill="1"/>
    <xf numFmtId="2" fontId="19" fillId="3" borderId="0" xfId="1" applyNumberFormat="1" applyFont="1" applyFill="1"/>
    <xf numFmtId="16" fontId="19" fillId="3" borderId="0" xfId="1" applyNumberFormat="1" applyFont="1" applyFill="1"/>
    <xf numFmtId="0" fontId="19" fillId="3" borderId="1" xfId="1" applyFont="1" applyFill="1" applyBorder="1"/>
    <xf numFmtId="0" fontId="19" fillId="3" borderId="8" xfId="1" applyFont="1" applyFill="1" applyBorder="1"/>
    <xf numFmtId="166" fontId="1" fillId="0" borderId="0" xfId="1" applyNumberFormat="1"/>
    <xf numFmtId="0" fontId="19" fillId="3" borderId="21" xfId="1" applyFont="1" applyFill="1" applyBorder="1"/>
    <xf numFmtId="0" fontId="20" fillId="3" borderId="1" xfId="1" applyFont="1" applyFill="1" applyBorder="1"/>
    <xf numFmtId="2" fontId="20" fillId="3" borderId="8" xfId="1" applyNumberFormat="1" applyFont="1" applyFill="1" applyBorder="1"/>
    <xf numFmtId="0" fontId="3" fillId="4" borderId="8" xfId="1" applyFont="1" applyFill="1" applyBorder="1"/>
    <xf numFmtId="2" fontId="1" fillId="0" borderId="13" xfId="1" applyNumberFormat="1" applyBorder="1"/>
    <xf numFmtId="2" fontId="1" fillId="4" borderId="15" xfId="1" applyNumberFormat="1" applyFill="1" applyBorder="1"/>
    <xf numFmtId="2" fontId="1" fillId="4" borderId="8" xfId="1" applyNumberFormat="1" applyFill="1" applyBorder="1"/>
    <xf numFmtId="2" fontId="1" fillId="0" borderId="21" xfId="1" applyNumberFormat="1" applyBorder="1"/>
    <xf numFmtId="2" fontId="2" fillId="0" borderId="8" xfId="1" applyNumberFormat="1" applyFont="1" applyBorder="1"/>
    <xf numFmtId="2" fontId="4" fillId="0" borderId="0" xfId="1" applyNumberFormat="1" applyFont="1"/>
    <xf numFmtId="2" fontId="0" fillId="0" borderId="0" xfId="0" applyNumberFormat="1"/>
    <xf numFmtId="0" fontId="17" fillId="0" borderId="0" xfId="1" applyFont="1"/>
    <xf numFmtId="0" fontId="18" fillId="0" borderId="0" xfId="1" applyFont="1"/>
    <xf numFmtId="0" fontId="20" fillId="0" borderId="1" xfId="1" applyFont="1" applyBorder="1"/>
    <xf numFmtId="2" fontId="20" fillId="0" borderId="8" xfId="1" applyNumberFormat="1" applyFont="1" applyBorder="1"/>
    <xf numFmtId="0" fontId="19" fillId="0" borderId="0" xfId="1" applyFont="1"/>
    <xf numFmtId="2" fontId="19" fillId="0" borderId="0" xfId="1" applyNumberFormat="1" applyFont="1"/>
    <xf numFmtId="16" fontId="19" fillId="0" borderId="0" xfId="1" applyNumberFormat="1" applyFont="1"/>
    <xf numFmtId="2" fontId="5" fillId="0" borderId="0" xfId="1" applyNumberFormat="1" applyFont="1" applyAlignment="1">
      <alignment horizontal="left"/>
    </xf>
    <xf numFmtId="2" fontId="1" fillId="4" borderId="21" xfId="1" applyNumberFormat="1" applyFill="1" applyBorder="1"/>
    <xf numFmtId="0" fontId="5" fillId="4" borderId="0" xfId="1" applyFont="1" applyFill="1"/>
    <xf numFmtId="0" fontId="4" fillId="0" borderId="0" xfId="1" applyFont="1" applyAlignment="1">
      <alignment horizontal="left"/>
    </xf>
    <xf numFmtId="167" fontId="41" fillId="0" borderId="0" xfId="1" applyNumberFormat="1" applyFont="1"/>
    <xf numFmtId="2" fontId="41" fillId="0" borderId="0" xfId="1" applyNumberFormat="1" applyFont="1"/>
    <xf numFmtId="0" fontId="23" fillId="0" borderId="0" xfId="0" applyFont="1"/>
    <xf numFmtId="0" fontId="44" fillId="0" borderId="0" xfId="0" applyFont="1" applyAlignment="1">
      <alignment vertical="center"/>
    </xf>
    <xf numFmtId="2" fontId="5" fillId="2" borderId="0" xfId="1" applyNumberFormat="1" applyFont="1" applyFill="1"/>
    <xf numFmtId="2" fontId="1" fillId="36" borderId="15" xfId="1" applyNumberFormat="1" applyFill="1" applyBorder="1"/>
    <xf numFmtId="2" fontId="1" fillId="0" borderId="4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5" fillId="2" borderId="0" xfId="1" applyNumberFormat="1" applyFont="1" applyFill="1"/>
    <xf numFmtId="4" fontId="1" fillId="0" borderId="0" xfId="1" applyNumberFormat="1"/>
    <xf numFmtId="2" fontId="43" fillId="0" borderId="0" xfId="1" applyNumberFormat="1" applyFont="1"/>
    <xf numFmtId="0" fontId="45" fillId="0" borderId="0" xfId="0" applyFont="1" applyAlignment="1">
      <alignment vertical="center"/>
    </xf>
    <xf numFmtId="4" fontId="47" fillId="0" borderId="0" xfId="0" applyNumberFormat="1" applyFont="1"/>
    <xf numFmtId="2" fontId="1" fillId="0" borderId="39" xfId="1" applyNumberFormat="1" applyBorder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left"/>
    </xf>
    <xf numFmtId="167" fontId="42" fillId="0" borderId="0" xfId="0" applyNumberFormat="1" applyFont="1"/>
    <xf numFmtId="0" fontId="42" fillId="0" borderId="0" xfId="0" applyFont="1"/>
    <xf numFmtId="2" fontId="10" fillId="0" borderId="0" xfId="1" applyNumberFormat="1" applyFont="1"/>
    <xf numFmtId="2" fontId="1" fillId="4" borderId="39" xfId="1" applyNumberFormat="1" applyFill="1" applyBorder="1"/>
    <xf numFmtId="0" fontId="5" fillId="4" borderId="8" xfId="1" applyFont="1" applyFill="1" applyBorder="1"/>
    <xf numFmtId="2" fontId="5" fillId="4" borderId="15" xfId="1" applyNumberFormat="1" applyFont="1" applyFill="1" applyBorder="1"/>
    <xf numFmtId="0" fontId="25" fillId="0" borderId="0" xfId="0" applyFont="1"/>
    <xf numFmtId="2" fontId="11" fillId="0" borderId="0" xfId="1" applyNumberFormat="1" applyFont="1"/>
    <xf numFmtId="0" fontId="48" fillId="0" borderId="0" xfId="0" applyFont="1"/>
    <xf numFmtId="2" fontId="5" fillId="4" borderId="8" xfId="1" applyNumberFormat="1" applyFont="1" applyFill="1" applyBorder="1"/>
    <xf numFmtId="0" fontId="43" fillId="0" borderId="0" xfId="1" applyFont="1"/>
    <xf numFmtId="0" fontId="24" fillId="0" borderId="0" xfId="0" applyFont="1"/>
    <xf numFmtId="2" fontId="1" fillId="0" borderId="40" xfId="1" applyNumberFormat="1" applyBorder="1"/>
    <xf numFmtId="4" fontId="47" fillId="0" borderId="1" xfId="0" applyNumberFormat="1" applyFont="1" applyBorder="1"/>
    <xf numFmtId="2" fontId="2" fillId="0" borderId="8" xfId="1" applyNumberFormat="1" applyFont="1" applyBorder="1" applyAlignment="1">
      <alignment horizontal="left" indent="1"/>
    </xf>
    <xf numFmtId="2" fontId="1" fillId="0" borderId="15" xfId="1" applyNumberFormat="1" applyBorder="1" applyAlignment="1">
      <alignment horizontal="left" indent="1"/>
    </xf>
    <xf numFmtId="2" fontId="1" fillId="0" borderId="8" xfId="1" applyNumberFormat="1" applyBorder="1" applyAlignment="1">
      <alignment horizontal="left" indent="1"/>
    </xf>
    <xf numFmtId="0" fontId="3" fillId="0" borderId="8" xfId="1" applyFont="1" applyBorder="1" applyAlignment="1">
      <alignment horizontal="left" indent="1"/>
    </xf>
    <xf numFmtId="4" fontId="47" fillId="0" borderId="0" xfId="0" applyNumberFormat="1" applyFont="1" applyAlignment="1">
      <alignment horizontal="left" indent="1"/>
    </xf>
    <xf numFmtId="2" fontId="1" fillId="4" borderId="15" xfId="1" applyNumberFormat="1" applyFill="1" applyBorder="1" applyAlignment="1">
      <alignment horizontal="left" indent="1"/>
    </xf>
    <xf numFmtId="2" fontId="1" fillId="4" borderId="8" xfId="1" applyNumberFormat="1" applyFill="1" applyBorder="1" applyAlignment="1">
      <alignment horizontal="left" indent="1"/>
    </xf>
    <xf numFmtId="2" fontId="1" fillId="4" borderId="39" xfId="1" applyNumberFormat="1" applyFill="1" applyBorder="1" applyAlignment="1">
      <alignment horizontal="left" indent="1"/>
    </xf>
    <xf numFmtId="2" fontId="1" fillId="4" borderId="21" xfId="1" applyNumberFormat="1" applyFill="1" applyBorder="1" applyAlignment="1">
      <alignment horizontal="left" indent="1"/>
    </xf>
    <xf numFmtId="2" fontId="43" fillId="0" borderId="15" xfId="1" applyNumberFormat="1" applyFont="1" applyBorder="1"/>
    <xf numFmtId="0" fontId="2" fillId="0" borderId="15" xfId="1" applyFont="1" applyBorder="1"/>
    <xf numFmtId="2" fontId="2" fillId="0" borderId="15" xfId="1" applyNumberFormat="1" applyFont="1" applyBorder="1"/>
    <xf numFmtId="2" fontId="1" fillId="36" borderId="0" xfId="1" applyNumberFormat="1" applyFill="1"/>
    <xf numFmtId="0" fontId="1" fillId="36" borderId="0" xfId="1" applyFill="1"/>
    <xf numFmtId="2" fontId="1" fillId="36" borderId="0" xfId="1" applyNumberFormat="1" applyFill="1" applyAlignment="1">
      <alignment horizontal="left"/>
    </xf>
    <xf numFmtId="2" fontId="43" fillId="0" borderId="41" xfId="1" applyNumberFormat="1" applyFont="1" applyBorder="1"/>
    <xf numFmtId="2" fontId="43" fillId="0" borderId="42" xfId="1" applyNumberFormat="1" applyFont="1" applyBorder="1"/>
    <xf numFmtId="0" fontId="43" fillId="36" borderId="0" xfId="1" applyFont="1" applyFill="1"/>
    <xf numFmtId="2" fontId="43" fillId="36" borderId="0" xfId="1" applyNumberFormat="1" applyFont="1" applyFill="1"/>
    <xf numFmtId="2" fontId="1" fillId="0" borderId="41" xfId="1" applyNumberFormat="1" applyBorder="1"/>
    <xf numFmtId="2" fontId="1" fillId="0" borderId="42" xfId="1" applyNumberFormat="1" applyBorder="1"/>
    <xf numFmtId="2" fontId="21" fillId="0" borderId="0" xfId="1" applyNumberFormat="1" applyFont="1"/>
    <xf numFmtId="2" fontId="5" fillId="0" borderId="8" xfId="1" applyNumberFormat="1" applyFont="1" applyBorder="1"/>
    <xf numFmtId="2" fontId="50" fillId="0" borderId="43" xfId="0" applyNumberFormat="1" applyFont="1" applyBorder="1" applyAlignment="1">
      <alignment horizontal="right" vertical="center" wrapText="1"/>
    </xf>
    <xf numFmtId="168" fontId="50" fillId="0" borderId="43" xfId="0" applyNumberFormat="1" applyFont="1" applyBorder="1" applyAlignment="1">
      <alignment horizontal="right" vertical="center" wrapText="1"/>
    </xf>
    <xf numFmtId="2" fontId="5" fillId="4" borderId="0" xfId="1" applyNumberFormat="1" applyFont="1" applyFill="1"/>
    <xf numFmtId="1" fontId="2" fillId="0" borderId="0" xfId="1" applyNumberFormat="1" applyFont="1" applyAlignment="1">
      <alignment horizontal="left"/>
    </xf>
    <xf numFmtId="168" fontId="51" fillId="0" borderId="43" xfId="0" applyNumberFormat="1" applyFont="1" applyBorder="1" applyAlignment="1">
      <alignment horizontal="right" vertical="center" wrapText="1"/>
    </xf>
    <xf numFmtId="2" fontId="3" fillId="0" borderId="15" xfId="1" applyNumberFormat="1" applyFont="1" applyBorder="1"/>
    <xf numFmtId="2" fontId="3" fillId="0" borderId="39" xfId="1" applyNumberFormat="1" applyFont="1" applyBorder="1"/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2" fontId="13" fillId="0" borderId="15" xfId="1" applyNumberFormat="1" applyFont="1" applyBorder="1"/>
    <xf numFmtId="2" fontId="13" fillId="0" borderId="13" xfId="1" applyNumberFormat="1" applyFont="1" applyBorder="1"/>
    <xf numFmtId="2" fontId="13" fillId="0" borderId="42" xfId="1" applyNumberFormat="1" applyFont="1" applyBorder="1"/>
    <xf numFmtId="2" fontId="13" fillId="0" borderId="21" xfId="1" applyNumberFormat="1" applyFont="1" applyBorder="1"/>
    <xf numFmtId="2" fontId="13" fillId="0" borderId="29" xfId="1" applyNumberFormat="1" applyFont="1" applyBorder="1"/>
    <xf numFmtId="168" fontId="49" fillId="0" borderId="43" xfId="3" applyNumberFormat="1" applyFont="1" applyBorder="1" applyAlignment="1">
      <alignment horizontal="right" vertical="center" wrapText="1"/>
    </xf>
    <xf numFmtId="4" fontId="49" fillId="0" borderId="43" xfId="3" applyNumberFormat="1" applyFont="1" applyBorder="1" applyAlignment="1">
      <alignment horizontal="right" vertical="center" wrapText="1"/>
    </xf>
    <xf numFmtId="2" fontId="49" fillId="0" borderId="43" xfId="3" applyNumberFormat="1" applyFont="1" applyBorder="1" applyAlignment="1">
      <alignment horizontal="right" vertical="center" wrapText="1"/>
    </xf>
    <xf numFmtId="0" fontId="49" fillId="0" borderId="43" xfId="3" applyFont="1" applyBorder="1" applyAlignment="1">
      <alignment vertical="center" wrapText="1"/>
    </xf>
    <xf numFmtId="0" fontId="52" fillId="0" borderId="0" xfId="0" applyFont="1"/>
    <xf numFmtId="169" fontId="54" fillId="4" borderId="47" xfId="0" applyNumberFormat="1" applyFont="1" applyFill="1" applyBorder="1" applyAlignment="1" applyProtection="1">
      <alignment horizontal="right" wrapText="1"/>
      <protection locked="0"/>
    </xf>
    <xf numFmtId="1" fontId="54" fillId="4" borderId="47" xfId="0" applyNumberFormat="1" applyFont="1" applyFill="1" applyBorder="1" applyAlignment="1" applyProtection="1">
      <alignment horizontal="right" wrapText="1"/>
      <protection locked="0"/>
    </xf>
    <xf numFmtId="164" fontId="5" fillId="41" borderId="0" xfId="1" applyNumberFormat="1" applyFont="1" applyFill="1"/>
    <xf numFmtId="0" fontId="1" fillId="41" borderId="0" xfId="1" applyFill="1"/>
    <xf numFmtId="169" fontId="39" fillId="37" borderId="44" xfId="0" applyNumberFormat="1" applyFont="1" applyFill="1" applyBorder="1" applyAlignment="1">
      <alignment horizontal="left" wrapText="1"/>
    </xf>
    <xf numFmtId="169" fontId="39" fillId="37" borderId="45" xfId="0" applyNumberFormat="1" applyFont="1" applyFill="1" applyBorder="1" applyAlignment="1">
      <alignment horizontal="left" wrapText="1"/>
    </xf>
    <xf numFmtId="169" fontId="39" fillId="37" borderId="46" xfId="0" applyNumberFormat="1" applyFont="1" applyFill="1" applyBorder="1" applyAlignment="1">
      <alignment horizontal="left" wrapText="1"/>
    </xf>
    <xf numFmtId="169" fontId="53" fillId="0" borderId="0" xfId="0" applyNumberFormat="1" applyFont="1" applyAlignment="1">
      <alignment horizontal="left"/>
    </xf>
    <xf numFmtId="169" fontId="53" fillId="0" borderId="0" xfId="0" applyNumberFormat="1" applyFont="1" applyAlignment="1">
      <alignment horizontal="left" wrapText="1"/>
    </xf>
    <xf numFmtId="10" fontId="54" fillId="0" borderId="0" xfId="0" applyNumberFormat="1" applyFont="1" applyAlignment="1">
      <alignment horizontal="left" wrapText="1"/>
    </xf>
    <xf numFmtId="169" fontId="54" fillId="38" borderId="0" xfId="0" applyNumberFormat="1" applyFont="1" applyFill="1" applyAlignment="1">
      <alignment horizontal="right" wrapText="1"/>
    </xf>
    <xf numFmtId="169" fontId="57" fillId="40" borderId="0" xfId="0" applyNumberFormat="1" applyFont="1" applyFill="1" applyAlignment="1">
      <alignment horizontal="left"/>
    </xf>
    <xf numFmtId="169" fontId="53" fillId="40" borderId="0" xfId="0" applyNumberFormat="1" applyFont="1" applyFill="1" applyAlignment="1">
      <alignment horizontal="left" wrapText="1"/>
    </xf>
    <xf numFmtId="10" fontId="54" fillId="40" borderId="0" xfId="0" applyNumberFormat="1" applyFont="1" applyFill="1" applyAlignment="1">
      <alignment horizontal="left" wrapText="1"/>
    </xf>
    <xf numFmtId="2" fontId="6" fillId="4" borderId="0" xfId="1" applyNumberFormat="1" applyFont="1" applyFill="1"/>
    <xf numFmtId="2" fontId="6" fillId="0" borderId="0" xfId="1" applyNumberFormat="1" applyFont="1" applyAlignment="1">
      <alignment vertical="top"/>
    </xf>
    <xf numFmtId="2" fontId="1" fillId="0" borderId="0" xfId="1" applyNumberFormat="1" applyAlignment="1">
      <alignment vertical="top"/>
    </xf>
    <xf numFmtId="2" fontId="1" fillId="4" borderId="0" xfId="1" applyNumberFormat="1" applyFill="1"/>
    <xf numFmtId="14" fontId="1" fillId="4" borderId="0" xfId="1" applyNumberFormat="1" applyFill="1" applyAlignment="1">
      <alignment horizontal="left"/>
    </xf>
    <xf numFmtId="1" fontId="1" fillId="4" borderId="0" xfId="1" applyNumberFormat="1" applyFill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0" xfId="1" applyAlignment="1">
      <alignment horizontal="left" wrapText="1"/>
    </xf>
    <xf numFmtId="0" fontId="0" fillId="0" borderId="0" xfId="0" applyAlignment="1">
      <alignment horizontal="center"/>
    </xf>
    <xf numFmtId="0" fontId="58" fillId="39" borderId="0" xfId="0" applyFont="1" applyFill="1" applyAlignment="1">
      <alignment horizontal="center"/>
    </xf>
    <xf numFmtId="0" fontId="55" fillId="0" borderId="0" xfId="0" applyFont="1" applyAlignment="1">
      <alignment horizontal="left" vertical="top" wrapText="1"/>
    </xf>
    <xf numFmtId="0" fontId="56" fillId="0" borderId="0" xfId="1" applyFont="1" applyAlignment="1">
      <alignment horizontal="left" vertical="top" wrapText="1"/>
    </xf>
    <xf numFmtId="169" fontId="53" fillId="0" borderId="0" xfId="0" applyNumberFormat="1" applyFont="1" applyAlignment="1">
      <alignment horizontal="left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11" xfId="47" xr:uid="{00000000-0005-0000-0000-000026000000}"/>
    <cellStyle name="Normal 2 2" xfId="2" xr:uid="{00000000-0005-0000-0000-000027000000}"/>
    <cellStyle name="Normal 3" xfId="3" xr:uid="{00000000-0005-0000-0000-000028000000}"/>
    <cellStyle name="Normal 3 2" xfId="48" xr:uid="{00000000-0005-0000-0000-000029000000}"/>
    <cellStyle name="Normal 4" xfId="4" xr:uid="{00000000-0005-0000-0000-00002A000000}"/>
    <cellStyle name="Normal 4 2" xfId="49" xr:uid="{00000000-0005-0000-0000-00002B000000}"/>
    <cellStyle name="Note" xfId="19" builtinId="10" customBuiltin="1"/>
    <cellStyle name="Output" xfId="14" builtinId="21" customBuiltin="1"/>
    <cellStyle name="Title" xfId="5" builtinId="15" customBuiltin="1"/>
    <cellStyle name="Title 2" xfId="46" xr:uid="{00000000-0005-0000-0000-00002F000000}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0000FF"/>
      <color rgb="FFFF99FF"/>
      <color rgb="FFFF7C80"/>
      <color rgb="FF3366FF"/>
      <color rgb="FF00FF0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885778</xdr:colOff>
      <xdr:row>0</xdr:row>
      <xdr:rowOff>65689</xdr:rowOff>
    </xdr:from>
    <xdr:to>
      <xdr:col>1</xdr:col>
      <xdr:colOff>3378382</xdr:colOff>
      <xdr:row>4</xdr:row>
      <xdr:rowOff>247739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8" y="65689"/>
          <a:ext cx="3873729" cy="94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6">
    <tabColor rgb="FFFF0000"/>
  </sheetPr>
  <dimension ref="A1:WVS48"/>
  <sheetViews>
    <sheetView zoomScale="85" zoomScaleNormal="85" workbookViewId="0">
      <selection activeCell="F28" sqref="F2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78</v>
      </c>
      <c r="C1" s="207"/>
      <c r="D1" s="1" t="s">
        <v>1</v>
      </c>
      <c r="E1" s="2">
        <v>9</v>
      </c>
      <c r="F1" s="2">
        <v>12</v>
      </c>
      <c r="G1" s="2"/>
      <c r="H1" s="2"/>
      <c r="I1" s="3" t="s">
        <v>2</v>
      </c>
      <c r="J1" s="73">
        <v>35658</v>
      </c>
    </row>
    <row r="2" spans="1:20">
      <c r="A2" s="1" t="s">
        <v>4</v>
      </c>
      <c r="B2" s="208">
        <v>644266497</v>
      </c>
      <c r="C2" s="208"/>
      <c r="D2" s="5" t="s">
        <v>49</v>
      </c>
      <c r="E2" s="6"/>
      <c r="F2" s="6"/>
      <c r="G2" s="6"/>
      <c r="H2" s="6"/>
      <c r="I2" s="3" t="s">
        <v>5</v>
      </c>
      <c r="J2" s="73">
        <v>24719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f>J4*G1</f>
        <v>0</v>
      </c>
      <c r="K3" s="49"/>
      <c r="L3" s="14">
        <f>-SUM(C30+D30+E30+F30)</f>
        <v>-52126.098500000007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v>21810.05</v>
      </c>
      <c r="K4" s="49"/>
      <c r="L4" s="19">
        <f>SUM(L2:L3)</f>
        <v>5873.9014999999927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10905.025</v>
      </c>
      <c r="K5" s="49"/>
      <c r="O5" s="14">
        <f>-D30</f>
        <v>-6515.7530000000006</v>
      </c>
      <c r="P5" s="15" t="s">
        <v>29</v>
      </c>
      <c r="R5" s="16"/>
    </row>
    <row r="6" spans="1:20" ht="13.5" thickBot="1">
      <c r="A6" s="23">
        <v>40553</v>
      </c>
      <c r="B6" s="24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19484.246999999999</v>
      </c>
      <c r="P6" s="32" t="s">
        <v>93</v>
      </c>
      <c r="R6" s="16"/>
    </row>
    <row r="7" spans="1:20" ht="13.5" thickBot="1">
      <c r="A7" s="23">
        <v>40568</v>
      </c>
      <c r="B7" s="24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5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24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5873.9014999999927</v>
      </c>
      <c r="P8" s="34" t="s">
        <v>101</v>
      </c>
      <c r="R8" s="16"/>
    </row>
    <row r="9" spans="1:20">
      <c r="A9" s="23">
        <v>40599</v>
      </c>
      <c r="B9" s="24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24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24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12373.901499999993</v>
      </c>
      <c r="P11" s="37"/>
      <c r="R11" s="41"/>
    </row>
    <row r="12" spans="1:20" ht="13.5" thickBot="1">
      <c r="A12" s="23">
        <v>40643</v>
      </c>
      <c r="B12" s="24">
        <v>-3564.06</v>
      </c>
      <c r="C12" s="25">
        <v>0</v>
      </c>
      <c r="D12" s="25">
        <v>0</v>
      </c>
      <c r="E12" s="26"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24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24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12373.901499999993</v>
      </c>
      <c r="P14" s="42" t="s">
        <v>31</v>
      </c>
      <c r="R14" s="31"/>
      <c r="S14" s="31"/>
    </row>
    <row r="15" spans="1:20">
      <c r="A15" s="23">
        <v>40688</v>
      </c>
      <c r="B15" s="24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12373.901499999993</v>
      </c>
      <c r="P15" s="23">
        <v>40553</v>
      </c>
      <c r="R15" s="31"/>
    </row>
    <row r="16" spans="1:20">
      <c r="A16" s="23">
        <v>40704</v>
      </c>
      <c r="B16" s="24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12373.901499999993</v>
      </c>
      <c r="P16" s="23">
        <v>40568</v>
      </c>
      <c r="R16" s="31"/>
    </row>
    <row r="17" spans="1:22">
      <c r="A17" s="23">
        <v>40719</v>
      </c>
      <c r="B17" s="24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12373.901499999993</v>
      </c>
      <c r="P17" s="23">
        <v>40584</v>
      </c>
      <c r="R17" s="31"/>
    </row>
    <row r="18" spans="1:22">
      <c r="A18" s="23">
        <v>40369</v>
      </c>
      <c r="B18" s="24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12373.901499999993</v>
      </c>
      <c r="P18" s="23">
        <v>40599</v>
      </c>
      <c r="R18" s="31"/>
      <c r="U18" s="31"/>
      <c r="V18" s="31"/>
    </row>
    <row r="19" spans="1:22">
      <c r="A19" s="23">
        <v>40384</v>
      </c>
      <c r="B19" s="24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12373.901499999993</v>
      </c>
      <c r="P19" s="23">
        <v>40612</v>
      </c>
    </row>
    <row r="20" spans="1:22">
      <c r="A20" s="23">
        <v>40400</v>
      </c>
      <c r="B20" s="24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12373.901499999993</v>
      </c>
      <c r="P20" s="23">
        <v>40627</v>
      </c>
    </row>
    <row r="21" spans="1:22">
      <c r="A21" s="23">
        <v>40415</v>
      </c>
      <c r="B21" s="24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12373.901499999993</v>
      </c>
      <c r="P21" s="23">
        <v>40643</v>
      </c>
      <c r="U21" s="31"/>
    </row>
    <row r="22" spans="1:22">
      <c r="A22" s="23">
        <v>40066</v>
      </c>
      <c r="B22" s="24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12373.901499999993</v>
      </c>
      <c r="P22" s="23">
        <v>40658</v>
      </c>
      <c r="U22" s="31"/>
    </row>
    <row r="23" spans="1:22">
      <c r="A23" s="23">
        <v>40081</v>
      </c>
      <c r="B23" s="24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12373.901499999993</v>
      </c>
      <c r="P23" s="23">
        <v>40673</v>
      </c>
      <c r="R23" s="31"/>
      <c r="U23" s="31"/>
    </row>
    <row r="24" spans="1:22">
      <c r="A24" s="23">
        <v>40096</v>
      </c>
      <c r="B24" s="24">
        <v>209669.1</v>
      </c>
      <c r="C24" s="25">
        <v>15457.91</v>
      </c>
      <c r="D24" s="25">
        <v>4907.6000000000004</v>
      </c>
      <c r="E24" s="26">
        <v>15457.91</v>
      </c>
      <c r="F24" s="25">
        <v>5142.7</v>
      </c>
      <c r="G24" s="27">
        <v>21092.400000000001</v>
      </c>
      <c r="H24" s="27">
        <v>26000</v>
      </c>
      <c r="I24" s="53"/>
      <c r="J24" s="53"/>
      <c r="K24" s="53"/>
      <c r="O24" s="14">
        <f t="shared" si="4"/>
        <v>12373.901499999993</v>
      </c>
      <c r="P24" s="23">
        <v>40688</v>
      </c>
      <c r="R24" s="31"/>
      <c r="U24" s="31"/>
    </row>
    <row r="25" spans="1:22">
      <c r="A25" s="23">
        <v>40111</v>
      </c>
      <c r="B25" s="24">
        <v>10905.03</v>
      </c>
      <c r="C25" s="25">
        <f t="shared" si="0"/>
        <v>817.87725</v>
      </c>
      <c r="D25" s="25">
        <v>0</v>
      </c>
      <c r="E25" s="26">
        <f t="shared" si="2"/>
        <v>817.87725</v>
      </c>
      <c r="F25" s="25">
        <v>0</v>
      </c>
      <c r="G25" s="134">
        <v>-8561.02</v>
      </c>
      <c r="H25" s="27">
        <v>1083</v>
      </c>
      <c r="I25" s="54"/>
      <c r="J25" s="55"/>
      <c r="K25" s="54"/>
      <c r="O25" s="14">
        <f t="shared" si="4"/>
        <v>12373.901499999993</v>
      </c>
      <c r="P25" s="23">
        <v>40704</v>
      </c>
      <c r="R25" s="31"/>
    </row>
    <row r="26" spans="1:22">
      <c r="A26" s="23">
        <v>40127</v>
      </c>
      <c r="B26" s="24">
        <v>10905.03</v>
      </c>
      <c r="C26" s="25">
        <f t="shared" si="0"/>
        <v>817.87725</v>
      </c>
      <c r="D26" s="25">
        <f>B26*0.025</f>
        <v>272.62575000000004</v>
      </c>
      <c r="E26" s="26">
        <f>B26*0.075</f>
        <v>817.87725</v>
      </c>
      <c r="F26" s="25">
        <f>B26*0.025</f>
        <v>272.62575000000004</v>
      </c>
      <c r="G26" s="27">
        <v>178.19</v>
      </c>
      <c r="H26" s="27">
        <v>1083</v>
      </c>
      <c r="I26" s="50"/>
      <c r="J26" s="45"/>
      <c r="K26" s="45"/>
      <c r="O26" s="14">
        <f t="shared" si="4"/>
        <v>12373.901499999993</v>
      </c>
      <c r="P26" s="23">
        <v>40719</v>
      </c>
      <c r="R26" s="31"/>
    </row>
    <row r="27" spans="1:22" ht="15" customHeight="1">
      <c r="A27" s="23">
        <v>40142</v>
      </c>
      <c r="B27" s="24">
        <v>10905.03</v>
      </c>
      <c r="C27" s="25">
        <f t="shared" si="0"/>
        <v>817.87725</v>
      </c>
      <c r="D27" s="25">
        <f>B27*0.025</f>
        <v>272.62575000000004</v>
      </c>
      <c r="E27" s="26">
        <f>B27*0.075</f>
        <v>817.87725</v>
      </c>
      <c r="F27" s="25">
        <f>B27*0.025</f>
        <v>272.62575000000004</v>
      </c>
      <c r="G27" s="134">
        <v>-335.67</v>
      </c>
      <c r="H27" s="27">
        <v>1083</v>
      </c>
      <c r="I27" s="56"/>
      <c r="J27" s="56"/>
      <c r="K27" s="56"/>
      <c r="O27" s="14">
        <f t="shared" si="4"/>
        <v>12373.901499999993</v>
      </c>
      <c r="P27" s="23">
        <v>40369</v>
      </c>
      <c r="R27" s="31"/>
    </row>
    <row r="28" spans="1:22">
      <c r="A28" s="23">
        <v>40157</v>
      </c>
      <c r="B28" s="24">
        <v>10905.03</v>
      </c>
      <c r="C28" s="25">
        <f t="shared" si="0"/>
        <v>817.87725</v>
      </c>
      <c r="D28" s="135">
        <f>(B28*0.025)+517.65</f>
        <v>790.27575000000002</v>
      </c>
      <c r="E28" s="26">
        <f>B28*0.075</f>
        <v>817.87725</v>
      </c>
      <c r="F28" s="135">
        <f>(B28*0.025)+282.55</f>
        <v>555.17575000000011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12373.901499999993</v>
      </c>
      <c r="P28" s="23">
        <v>40384</v>
      </c>
      <c r="R28" s="89"/>
    </row>
    <row r="29" spans="1:22" ht="13.5" thickBot="1">
      <c r="A29" s="23">
        <v>39441</v>
      </c>
      <c r="B29" s="24">
        <v>10905.03</v>
      </c>
      <c r="C29" s="25">
        <f t="shared" si="0"/>
        <v>817.87725</v>
      </c>
      <c r="D29" s="126">
        <f>B29*0.025</f>
        <v>272.62575000000004</v>
      </c>
      <c r="E29" s="97">
        <f>B29*0.075</f>
        <v>817.87725</v>
      </c>
      <c r="F29" s="97">
        <f>B29*0.025</f>
        <v>272.62575000000004</v>
      </c>
      <c r="G29" s="27">
        <v>0</v>
      </c>
      <c r="H29" s="27">
        <v>1083</v>
      </c>
      <c r="I29" s="56"/>
      <c r="J29" s="56"/>
      <c r="K29" s="56"/>
      <c r="O29" s="14">
        <f t="shared" si="4"/>
        <v>12373.901499999993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260630.19</v>
      </c>
      <c r="C30" s="59">
        <f t="shared" si="5"/>
        <v>19547.296250000003</v>
      </c>
      <c r="D30" s="94">
        <f t="shared" si="5"/>
        <v>6515.7530000000006</v>
      </c>
      <c r="E30" s="94">
        <f t="shared" si="5"/>
        <v>19547.296250000003</v>
      </c>
      <c r="F30" s="94">
        <f t="shared" si="5"/>
        <v>6515.7530000000006</v>
      </c>
      <c r="G30" s="59">
        <f t="shared" si="5"/>
        <v>12373.900000000001</v>
      </c>
      <c r="H30" s="59">
        <f t="shared" si="5"/>
        <v>31415</v>
      </c>
      <c r="I30" s="44"/>
      <c r="J30" s="132"/>
      <c r="K30" s="44"/>
      <c r="O30" s="14">
        <f t="shared" si="4"/>
        <v>12373.901499999993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19547.26425</v>
      </c>
      <c r="D31" s="160">
        <f>B30*0.025</f>
        <v>6515.7547500000001</v>
      </c>
      <c r="E31" s="64">
        <f>C31</f>
        <v>19547.26425</v>
      </c>
      <c r="F31" s="64">
        <f>D31</f>
        <v>6515.7547500000001</v>
      </c>
      <c r="G31" s="65"/>
      <c r="H31" s="65"/>
      <c r="I31" s="44"/>
      <c r="J31" s="132"/>
      <c r="K31" s="44"/>
      <c r="O31" s="14">
        <f t="shared" si="4"/>
        <v>12373.901499999993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3.2000000002881279E-2</v>
      </c>
      <c r="D32" s="31">
        <f>D30-D31</f>
        <v>-1.7499999994470272E-3</v>
      </c>
      <c r="E32" s="31">
        <f>E30-E31</f>
        <v>3.2000000002881279E-2</v>
      </c>
      <c r="F32" s="31">
        <f>F30-F31</f>
        <v>-1.7499999994470272E-3</v>
      </c>
      <c r="G32" s="45"/>
      <c r="H32" s="45"/>
      <c r="I32" s="57"/>
      <c r="J32" s="57"/>
      <c r="K32" s="57"/>
      <c r="O32" s="14">
        <f t="shared" si="4"/>
        <v>12373.901499999993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-8718.4985000000088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-157.47850000000835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-335.66850000000835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1.4999999916653906E-3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1.4999999916653906E-3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1.4999999916653906E-3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2">
    <tabColor rgb="FFFFC000"/>
  </sheetPr>
  <dimension ref="A1:WVV48"/>
  <sheetViews>
    <sheetView zoomScale="85" zoomScaleNormal="85" workbookViewId="0">
      <selection activeCell="I28" sqref="I28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7" t="s">
        <v>114</v>
      </c>
      <c r="C1" s="207"/>
      <c r="D1" s="127"/>
      <c r="E1" s="1" t="s">
        <v>1</v>
      </c>
      <c r="F1" s="2">
        <v>9</v>
      </c>
      <c r="G1" s="2"/>
      <c r="H1" s="3" t="s">
        <v>2</v>
      </c>
      <c r="I1" s="4">
        <v>37011</v>
      </c>
      <c r="L1" s="210" t="s">
        <v>3</v>
      </c>
      <c r="M1" s="210"/>
    </row>
    <row r="2" spans="1:23">
      <c r="A2" s="1" t="s">
        <v>4</v>
      </c>
      <c r="B2" s="208" t="s">
        <v>115</v>
      </c>
      <c r="C2" s="208"/>
      <c r="D2" s="128"/>
      <c r="F2" s="6"/>
      <c r="G2" s="6"/>
      <c r="H2" s="3" t="s">
        <v>5</v>
      </c>
      <c r="I2" s="4">
        <v>23493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122</v>
      </c>
      <c r="H3" s="3" t="s">
        <v>11</v>
      </c>
      <c r="I3" s="3">
        <v>129999.96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-31000.095999999994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f>I3/F1</f>
        <v>14444.44</v>
      </c>
      <c r="J4" s="49"/>
      <c r="K4" s="12" t="s">
        <v>16</v>
      </c>
      <c r="L4" s="13" t="s">
        <v>18</v>
      </c>
      <c r="M4" s="13" t="s">
        <v>19</v>
      </c>
      <c r="O4" s="19">
        <f>SUM(O2:O3)</f>
        <v>26999.904000000006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7222.22</v>
      </c>
      <c r="J5" s="49"/>
      <c r="K5" s="22" t="s">
        <v>27</v>
      </c>
      <c r="L5" s="21" t="s">
        <v>28</v>
      </c>
      <c r="M5" s="21" t="s">
        <v>28</v>
      </c>
      <c r="R5" s="14">
        <f>-D30</f>
        <v>-3875.002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22124.998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26999.904000000006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33499.90400000001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11" t="e">
        <f>IF(#REF!&gt;=0,"Total&lt;45K eligible for SRA","&gt;45K Not eligible for SRA")</f>
        <v>#REF!</v>
      </c>
      <c r="L14" s="212"/>
      <c r="M14" s="213"/>
      <c r="O14" s="31"/>
      <c r="P14" s="41"/>
      <c r="R14" s="14">
        <f>IF(R11&lt;R6,R11,R6)</f>
        <v>22124.998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4" t="e">
        <f>IF(#REF!&gt;=0,IF(#REF!&gt;=0,"SRA OK","SRA need to be adjusted"), "&gt;45K Not eligible for SRA")</f>
        <v>#REF!</v>
      </c>
      <c r="L15" s="215"/>
      <c r="M15" s="216"/>
      <c r="O15" s="44"/>
      <c r="P15" s="41"/>
      <c r="R15" s="14">
        <f>R14-F6-G6</f>
        <v>22124.998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ref="R16:R38" si="1">R15-F7-G7</f>
        <v>22124.998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22124.998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22124.998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22124.998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22124.998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22124.998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22124.998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22124.998</v>
      </c>
      <c r="S23" s="23">
        <v>40673</v>
      </c>
      <c r="U23" s="31"/>
      <c r="X23" s="31"/>
    </row>
    <row r="24" spans="1:25">
      <c r="A24" s="23">
        <v>40096</v>
      </c>
      <c r="B24" s="24">
        <v>0</v>
      </c>
      <c r="C24" s="25">
        <v>0</v>
      </c>
      <c r="D24" s="25">
        <v>0</v>
      </c>
      <c r="E24" s="26">
        <v>0</v>
      </c>
      <c r="F24" s="27">
        <v>0</v>
      </c>
      <c r="G24" s="27">
        <v>0</v>
      </c>
      <c r="H24" s="53"/>
      <c r="I24" s="53"/>
      <c r="J24" s="53"/>
      <c r="K24" s="209"/>
      <c r="L24" s="209"/>
      <c r="M24" s="209"/>
      <c r="R24" s="14">
        <f t="shared" si="1"/>
        <v>22124.998</v>
      </c>
      <c r="S24" s="23">
        <v>40688</v>
      </c>
      <c r="U24" s="31"/>
      <c r="X24" s="31"/>
    </row>
    <row r="25" spans="1:25">
      <c r="A25" s="23">
        <v>40111</v>
      </c>
      <c r="B25" s="125">
        <v>126111.12</v>
      </c>
      <c r="C25" s="125">
        <v>9458.3799999999992</v>
      </c>
      <c r="D25" s="125">
        <v>2972.29</v>
      </c>
      <c r="E25" s="26">
        <f t="shared" si="0"/>
        <v>12430.669999999998</v>
      </c>
      <c r="F25" s="125">
        <v>2245.15</v>
      </c>
      <c r="G25" s="125">
        <v>19879.78</v>
      </c>
      <c r="H25" s="54"/>
      <c r="I25" s="55"/>
      <c r="J25" s="54"/>
      <c r="K25" s="209"/>
      <c r="L25" s="209"/>
      <c r="M25" s="209"/>
      <c r="R25" s="14">
        <f t="shared" si="1"/>
        <v>22124.998</v>
      </c>
      <c r="S25" s="23">
        <v>40704</v>
      </c>
      <c r="U25" s="31"/>
    </row>
    <row r="26" spans="1:25">
      <c r="A26" s="23">
        <v>40127</v>
      </c>
      <c r="B26" s="24">
        <v>7222.22</v>
      </c>
      <c r="C26" s="25">
        <f>B26*0.075</f>
        <v>541.66650000000004</v>
      </c>
      <c r="D26" s="117">
        <f>(B26*0.025)+180.49</f>
        <v>361.04550000000006</v>
      </c>
      <c r="E26" s="26">
        <f t="shared" si="0"/>
        <v>902.7120000000001</v>
      </c>
      <c r="F26" s="93">
        <v>0</v>
      </c>
      <c r="G26" s="93">
        <v>0</v>
      </c>
      <c r="H26" s="50"/>
      <c r="I26" s="45"/>
      <c r="J26" s="45"/>
      <c r="R26" s="14">
        <f t="shared" si="1"/>
        <v>22124.998</v>
      </c>
      <c r="S26" s="23">
        <v>40719</v>
      </c>
      <c r="U26" s="31"/>
    </row>
    <row r="27" spans="1:25" ht="15" customHeight="1">
      <c r="A27" s="23">
        <v>40142</v>
      </c>
      <c r="B27" s="24">
        <v>7222.22</v>
      </c>
      <c r="C27" s="25">
        <f>B27*0.075</f>
        <v>541.66650000000004</v>
      </c>
      <c r="D27" s="25">
        <f>B27*0.025</f>
        <v>180.55550000000002</v>
      </c>
      <c r="E27" s="26">
        <f t="shared" si="0"/>
        <v>722.22200000000009</v>
      </c>
      <c r="F27" s="93">
        <v>0</v>
      </c>
      <c r="G27" s="93">
        <v>0</v>
      </c>
      <c r="H27" s="56"/>
      <c r="I27" s="56"/>
      <c r="J27" s="56"/>
      <c r="R27" s="14">
        <f t="shared" si="1"/>
        <v>22124.998</v>
      </c>
      <c r="S27" s="23">
        <v>40369</v>
      </c>
      <c r="U27" s="31"/>
    </row>
    <row r="28" spans="1:25">
      <c r="A28" s="23">
        <v>40157</v>
      </c>
      <c r="B28" s="24">
        <v>7222.22</v>
      </c>
      <c r="C28" s="25">
        <f>B28*0.075</f>
        <v>541.66650000000004</v>
      </c>
      <c r="D28" s="25">
        <f>B28*0.025</f>
        <v>180.55550000000002</v>
      </c>
      <c r="E28" s="26">
        <f t="shared" si="0"/>
        <v>722.22200000000009</v>
      </c>
      <c r="F28" s="93">
        <v>0</v>
      </c>
      <c r="G28" s="93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22124.998</v>
      </c>
      <c r="S28" s="23">
        <v>40384</v>
      </c>
      <c r="U28" s="89"/>
    </row>
    <row r="29" spans="1:25" ht="13.5" thickBot="1">
      <c r="A29" s="23">
        <v>39441</v>
      </c>
      <c r="B29" s="24">
        <v>7222.22</v>
      </c>
      <c r="C29" s="25">
        <f>B29*0.075</f>
        <v>541.66650000000004</v>
      </c>
      <c r="D29" s="97">
        <f>B29*0.025</f>
        <v>180.55550000000002</v>
      </c>
      <c r="E29" s="97">
        <f t="shared" si="0"/>
        <v>722.22200000000009</v>
      </c>
      <c r="F29" s="93">
        <v>0</v>
      </c>
      <c r="G29" s="93">
        <v>0</v>
      </c>
      <c r="H29" s="56"/>
      <c r="I29" s="56"/>
      <c r="J29" s="56"/>
      <c r="K29" s="57"/>
      <c r="L29" s="57"/>
      <c r="M29" s="57"/>
      <c r="N29" s="57"/>
      <c r="R29" s="14">
        <f t="shared" si="1"/>
        <v>22124.998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155000</v>
      </c>
      <c r="C30" s="59">
        <f>SUM(C6:C29)</f>
        <v>11625.045999999997</v>
      </c>
      <c r="D30" s="94">
        <f>SUM(D6:D29)</f>
        <v>3875.002</v>
      </c>
      <c r="E30" s="94">
        <f>C30+D30</f>
        <v>15500.047999999997</v>
      </c>
      <c r="F30" s="59">
        <f>SUM(F6:F29)</f>
        <v>2245.15</v>
      </c>
      <c r="G30" s="59">
        <f>SUM(G6:G29)</f>
        <v>19879.78</v>
      </c>
      <c r="H30" s="44"/>
      <c r="I30" s="132"/>
      <c r="J30" s="44"/>
      <c r="K30" s="57"/>
      <c r="L30" s="57"/>
      <c r="M30" s="57"/>
      <c r="N30" s="57"/>
      <c r="R30" s="14">
        <f t="shared" si="1"/>
        <v>22124.998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15500.047999999997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22124.998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22124.998</v>
      </c>
      <c r="S32" s="23">
        <v>40081</v>
      </c>
      <c r="U32" s="89" t="s">
        <v>32</v>
      </c>
    </row>
    <row r="33" spans="2:19" ht="15">
      <c r="B33" s="123">
        <f>B30*0.075</f>
        <v>11625</v>
      </c>
      <c r="C33" s="140"/>
      <c r="D33" s="123">
        <f>B30*0.025</f>
        <v>3875</v>
      </c>
      <c r="E33" s="141"/>
      <c r="G33" s="36"/>
      <c r="H33" s="57"/>
      <c r="I33" s="57"/>
      <c r="J33" s="57"/>
      <c r="K33" s="57"/>
      <c r="L33" s="57"/>
      <c r="M33" s="57"/>
      <c r="N33" s="57"/>
      <c r="R33" s="14">
        <f t="shared" si="1"/>
        <v>22124.998</v>
      </c>
      <c r="S33" s="23">
        <v>40096</v>
      </c>
    </row>
    <row r="34" spans="2:19">
      <c r="B34" s="123">
        <f>B33-C30</f>
        <v>-4.5999999996638508E-2</v>
      </c>
      <c r="C34" s="140" t="s">
        <v>119</v>
      </c>
      <c r="D34" s="123">
        <f>D33-D30</f>
        <v>-1.9999999999527063E-3</v>
      </c>
      <c r="E34" s="123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6.7999999999301508E-2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6.7999999999301508E-2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6.7999999999301508E-2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6.7999999999301508E-2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">
        <f t="shared" si="1"/>
        <v>6.7999999999301508E-2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79"/>
  <dimension ref="A1:WVX48"/>
  <sheetViews>
    <sheetView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3" width="13.42578125" style="5" customWidth="1"/>
    <col min="4" max="6" width="12.42578125" style="5" customWidth="1"/>
    <col min="7" max="7" width="12.5703125" style="5" customWidth="1"/>
    <col min="8" max="10" width="13" style="5" customWidth="1"/>
    <col min="11" max="11" width="20.7109375" style="5" customWidth="1"/>
    <col min="12" max="12" width="14.7109375" style="5" customWidth="1"/>
    <col min="13" max="13" width="12.7109375" style="5" hidden="1" customWidth="1"/>
    <col min="14" max="15" width="17.7109375" style="5" hidden="1" customWidth="1"/>
    <col min="16" max="16" width="9.28515625" style="5" hidden="1" customWidth="1"/>
    <col min="17" max="20" width="11.28515625" style="5" customWidth="1"/>
    <col min="21" max="21" width="19.7109375" style="5" customWidth="1"/>
    <col min="22" max="260" width="9.140625" style="5"/>
    <col min="261" max="261" width="10.42578125" style="5" bestFit="1" customWidth="1"/>
    <col min="262" max="262" width="13.42578125" style="5" customWidth="1"/>
    <col min="263" max="263" width="12.42578125" style="5" customWidth="1"/>
    <col min="264" max="264" width="12.5703125" style="5" customWidth="1"/>
    <col min="265" max="267" width="13" style="5" customWidth="1"/>
    <col min="268" max="268" width="14.7109375" style="5" customWidth="1"/>
    <col min="269" max="272" width="9.28515625" style="5" hidden="1" customWidth="1"/>
    <col min="273" max="276" width="11.28515625" style="5" customWidth="1"/>
    <col min="277" max="277" width="19.7109375" style="5" customWidth="1"/>
    <col min="278" max="516" width="9.140625" style="5"/>
    <col min="517" max="517" width="10.42578125" style="5" bestFit="1" customWidth="1"/>
    <col min="518" max="518" width="13.42578125" style="5" customWidth="1"/>
    <col min="519" max="519" width="12.42578125" style="5" customWidth="1"/>
    <col min="520" max="520" width="12.5703125" style="5" customWidth="1"/>
    <col min="521" max="523" width="13" style="5" customWidth="1"/>
    <col min="524" max="524" width="14.7109375" style="5" customWidth="1"/>
    <col min="525" max="528" width="9.28515625" style="5" hidden="1" customWidth="1"/>
    <col min="529" max="532" width="11.28515625" style="5" customWidth="1"/>
    <col min="533" max="533" width="19.7109375" style="5" customWidth="1"/>
    <col min="534" max="772" width="9.140625" style="5"/>
    <col min="773" max="773" width="10.42578125" style="5" bestFit="1" customWidth="1"/>
    <col min="774" max="774" width="13.42578125" style="5" customWidth="1"/>
    <col min="775" max="775" width="12.42578125" style="5" customWidth="1"/>
    <col min="776" max="776" width="12.5703125" style="5" customWidth="1"/>
    <col min="777" max="779" width="13" style="5" customWidth="1"/>
    <col min="780" max="780" width="14.7109375" style="5" customWidth="1"/>
    <col min="781" max="784" width="9.28515625" style="5" hidden="1" customWidth="1"/>
    <col min="785" max="788" width="11.28515625" style="5" customWidth="1"/>
    <col min="789" max="789" width="19.7109375" style="5" customWidth="1"/>
    <col min="790" max="1028" width="9.140625" style="5"/>
    <col min="1029" max="1029" width="10.42578125" style="5" bestFit="1" customWidth="1"/>
    <col min="1030" max="1030" width="13.42578125" style="5" customWidth="1"/>
    <col min="1031" max="1031" width="12.42578125" style="5" customWidth="1"/>
    <col min="1032" max="1032" width="12.5703125" style="5" customWidth="1"/>
    <col min="1033" max="1035" width="13" style="5" customWidth="1"/>
    <col min="1036" max="1036" width="14.7109375" style="5" customWidth="1"/>
    <col min="1037" max="1040" width="9.28515625" style="5" hidden="1" customWidth="1"/>
    <col min="1041" max="1044" width="11.28515625" style="5" customWidth="1"/>
    <col min="1045" max="1045" width="19.7109375" style="5" customWidth="1"/>
    <col min="1046" max="1284" width="9.140625" style="5"/>
    <col min="1285" max="1285" width="10.42578125" style="5" bestFit="1" customWidth="1"/>
    <col min="1286" max="1286" width="13.42578125" style="5" customWidth="1"/>
    <col min="1287" max="1287" width="12.42578125" style="5" customWidth="1"/>
    <col min="1288" max="1288" width="12.5703125" style="5" customWidth="1"/>
    <col min="1289" max="1291" width="13" style="5" customWidth="1"/>
    <col min="1292" max="1292" width="14.7109375" style="5" customWidth="1"/>
    <col min="1293" max="1296" width="9.28515625" style="5" hidden="1" customWidth="1"/>
    <col min="1297" max="1300" width="11.28515625" style="5" customWidth="1"/>
    <col min="1301" max="1301" width="19.7109375" style="5" customWidth="1"/>
    <col min="1302" max="1540" width="9.140625" style="5"/>
    <col min="1541" max="1541" width="10.42578125" style="5" bestFit="1" customWidth="1"/>
    <col min="1542" max="1542" width="13.42578125" style="5" customWidth="1"/>
    <col min="1543" max="1543" width="12.42578125" style="5" customWidth="1"/>
    <col min="1544" max="1544" width="12.5703125" style="5" customWidth="1"/>
    <col min="1545" max="1547" width="13" style="5" customWidth="1"/>
    <col min="1548" max="1548" width="14.7109375" style="5" customWidth="1"/>
    <col min="1549" max="1552" width="9.28515625" style="5" hidden="1" customWidth="1"/>
    <col min="1553" max="1556" width="11.28515625" style="5" customWidth="1"/>
    <col min="1557" max="1557" width="19.7109375" style="5" customWidth="1"/>
    <col min="1558" max="1796" width="9.140625" style="5"/>
    <col min="1797" max="1797" width="10.42578125" style="5" bestFit="1" customWidth="1"/>
    <col min="1798" max="1798" width="13.42578125" style="5" customWidth="1"/>
    <col min="1799" max="1799" width="12.42578125" style="5" customWidth="1"/>
    <col min="1800" max="1800" width="12.5703125" style="5" customWidth="1"/>
    <col min="1801" max="1803" width="13" style="5" customWidth="1"/>
    <col min="1804" max="1804" width="14.7109375" style="5" customWidth="1"/>
    <col min="1805" max="1808" width="9.28515625" style="5" hidden="1" customWidth="1"/>
    <col min="1809" max="1812" width="11.28515625" style="5" customWidth="1"/>
    <col min="1813" max="1813" width="19.7109375" style="5" customWidth="1"/>
    <col min="1814" max="2052" width="9.140625" style="5"/>
    <col min="2053" max="2053" width="10.42578125" style="5" bestFit="1" customWidth="1"/>
    <col min="2054" max="2054" width="13.42578125" style="5" customWidth="1"/>
    <col min="2055" max="2055" width="12.42578125" style="5" customWidth="1"/>
    <col min="2056" max="2056" width="12.5703125" style="5" customWidth="1"/>
    <col min="2057" max="2059" width="13" style="5" customWidth="1"/>
    <col min="2060" max="2060" width="14.7109375" style="5" customWidth="1"/>
    <col min="2061" max="2064" width="9.28515625" style="5" hidden="1" customWidth="1"/>
    <col min="2065" max="2068" width="11.28515625" style="5" customWidth="1"/>
    <col min="2069" max="2069" width="19.7109375" style="5" customWidth="1"/>
    <col min="2070" max="2308" width="9.140625" style="5"/>
    <col min="2309" max="2309" width="10.42578125" style="5" bestFit="1" customWidth="1"/>
    <col min="2310" max="2310" width="13.42578125" style="5" customWidth="1"/>
    <col min="2311" max="2311" width="12.42578125" style="5" customWidth="1"/>
    <col min="2312" max="2312" width="12.5703125" style="5" customWidth="1"/>
    <col min="2313" max="2315" width="13" style="5" customWidth="1"/>
    <col min="2316" max="2316" width="14.7109375" style="5" customWidth="1"/>
    <col min="2317" max="2320" width="9.28515625" style="5" hidden="1" customWidth="1"/>
    <col min="2321" max="2324" width="11.28515625" style="5" customWidth="1"/>
    <col min="2325" max="2325" width="19.7109375" style="5" customWidth="1"/>
    <col min="2326" max="2564" width="9.140625" style="5"/>
    <col min="2565" max="2565" width="10.42578125" style="5" bestFit="1" customWidth="1"/>
    <col min="2566" max="2566" width="13.42578125" style="5" customWidth="1"/>
    <col min="2567" max="2567" width="12.42578125" style="5" customWidth="1"/>
    <col min="2568" max="2568" width="12.5703125" style="5" customWidth="1"/>
    <col min="2569" max="2571" width="13" style="5" customWidth="1"/>
    <col min="2572" max="2572" width="14.7109375" style="5" customWidth="1"/>
    <col min="2573" max="2576" width="9.28515625" style="5" hidden="1" customWidth="1"/>
    <col min="2577" max="2580" width="11.28515625" style="5" customWidth="1"/>
    <col min="2581" max="2581" width="19.7109375" style="5" customWidth="1"/>
    <col min="2582" max="2820" width="9.140625" style="5"/>
    <col min="2821" max="2821" width="10.42578125" style="5" bestFit="1" customWidth="1"/>
    <col min="2822" max="2822" width="13.42578125" style="5" customWidth="1"/>
    <col min="2823" max="2823" width="12.42578125" style="5" customWidth="1"/>
    <col min="2824" max="2824" width="12.5703125" style="5" customWidth="1"/>
    <col min="2825" max="2827" width="13" style="5" customWidth="1"/>
    <col min="2828" max="2828" width="14.7109375" style="5" customWidth="1"/>
    <col min="2829" max="2832" width="9.28515625" style="5" hidden="1" customWidth="1"/>
    <col min="2833" max="2836" width="11.28515625" style="5" customWidth="1"/>
    <col min="2837" max="2837" width="19.7109375" style="5" customWidth="1"/>
    <col min="2838" max="3076" width="9.140625" style="5"/>
    <col min="3077" max="3077" width="10.42578125" style="5" bestFit="1" customWidth="1"/>
    <col min="3078" max="3078" width="13.42578125" style="5" customWidth="1"/>
    <col min="3079" max="3079" width="12.42578125" style="5" customWidth="1"/>
    <col min="3080" max="3080" width="12.5703125" style="5" customWidth="1"/>
    <col min="3081" max="3083" width="13" style="5" customWidth="1"/>
    <col min="3084" max="3084" width="14.7109375" style="5" customWidth="1"/>
    <col min="3085" max="3088" width="9.28515625" style="5" hidden="1" customWidth="1"/>
    <col min="3089" max="3092" width="11.28515625" style="5" customWidth="1"/>
    <col min="3093" max="3093" width="19.7109375" style="5" customWidth="1"/>
    <col min="3094" max="3332" width="9.140625" style="5"/>
    <col min="3333" max="3333" width="10.42578125" style="5" bestFit="1" customWidth="1"/>
    <col min="3334" max="3334" width="13.42578125" style="5" customWidth="1"/>
    <col min="3335" max="3335" width="12.42578125" style="5" customWidth="1"/>
    <col min="3336" max="3336" width="12.5703125" style="5" customWidth="1"/>
    <col min="3337" max="3339" width="13" style="5" customWidth="1"/>
    <col min="3340" max="3340" width="14.7109375" style="5" customWidth="1"/>
    <col min="3341" max="3344" width="9.28515625" style="5" hidden="1" customWidth="1"/>
    <col min="3345" max="3348" width="11.28515625" style="5" customWidth="1"/>
    <col min="3349" max="3349" width="19.7109375" style="5" customWidth="1"/>
    <col min="3350" max="3588" width="9.140625" style="5"/>
    <col min="3589" max="3589" width="10.42578125" style="5" bestFit="1" customWidth="1"/>
    <col min="3590" max="3590" width="13.42578125" style="5" customWidth="1"/>
    <col min="3591" max="3591" width="12.42578125" style="5" customWidth="1"/>
    <col min="3592" max="3592" width="12.5703125" style="5" customWidth="1"/>
    <col min="3593" max="3595" width="13" style="5" customWidth="1"/>
    <col min="3596" max="3596" width="14.7109375" style="5" customWidth="1"/>
    <col min="3597" max="3600" width="9.28515625" style="5" hidden="1" customWidth="1"/>
    <col min="3601" max="3604" width="11.28515625" style="5" customWidth="1"/>
    <col min="3605" max="3605" width="19.7109375" style="5" customWidth="1"/>
    <col min="3606" max="3844" width="9.140625" style="5"/>
    <col min="3845" max="3845" width="10.42578125" style="5" bestFit="1" customWidth="1"/>
    <col min="3846" max="3846" width="13.42578125" style="5" customWidth="1"/>
    <col min="3847" max="3847" width="12.42578125" style="5" customWidth="1"/>
    <col min="3848" max="3848" width="12.5703125" style="5" customWidth="1"/>
    <col min="3849" max="3851" width="13" style="5" customWidth="1"/>
    <col min="3852" max="3852" width="14.7109375" style="5" customWidth="1"/>
    <col min="3853" max="3856" width="9.28515625" style="5" hidden="1" customWidth="1"/>
    <col min="3857" max="3860" width="11.28515625" style="5" customWidth="1"/>
    <col min="3861" max="3861" width="19.7109375" style="5" customWidth="1"/>
    <col min="3862" max="4100" width="9.140625" style="5"/>
    <col min="4101" max="4101" width="10.42578125" style="5" bestFit="1" customWidth="1"/>
    <col min="4102" max="4102" width="13.42578125" style="5" customWidth="1"/>
    <col min="4103" max="4103" width="12.42578125" style="5" customWidth="1"/>
    <col min="4104" max="4104" width="12.5703125" style="5" customWidth="1"/>
    <col min="4105" max="4107" width="13" style="5" customWidth="1"/>
    <col min="4108" max="4108" width="14.7109375" style="5" customWidth="1"/>
    <col min="4109" max="4112" width="9.28515625" style="5" hidden="1" customWidth="1"/>
    <col min="4113" max="4116" width="11.28515625" style="5" customWidth="1"/>
    <col min="4117" max="4117" width="19.7109375" style="5" customWidth="1"/>
    <col min="4118" max="4356" width="9.140625" style="5"/>
    <col min="4357" max="4357" width="10.42578125" style="5" bestFit="1" customWidth="1"/>
    <col min="4358" max="4358" width="13.42578125" style="5" customWidth="1"/>
    <col min="4359" max="4359" width="12.42578125" style="5" customWidth="1"/>
    <col min="4360" max="4360" width="12.5703125" style="5" customWidth="1"/>
    <col min="4361" max="4363" width="13" style="5" customWidth="1"/>
    <col min="4364" max="4364" width="14.7109375" style="5" customWidth="1"/>
    <col min="4365" max="4368" width="9.28515625" style="5" hidden="1" customWidth="1"/>
    <col min="4369" max="4372" width="11.28515625" style="5" customWidth="1"/>
    <col min="4373" max="4373" width="19.7109375" style="5" customWidth="1"/>
    <col min="4374" max="4612" width="9.140625" style="5"/>
    <col min="4613" max="4613" width="10.42578125" style="5" bestFit="1" customWidth="1"/>
    <col min="4614" max="4614" width="13.42578125" style="5" customWidth="1"/>
    <col min="4615" max="4615" width="12.42578125" style="5" customWidth="1"/>
    <col min="4616" max="4616" width="12.5703125" style="5" customWidth="1"/>
    <col min="4617" max="4619" width="13" style="5" customWidth="1"/>
    <col min="4620" max="4620" width="14.7109375" style="5" customWidth="1"/>
    <col min="4621" max="4624" width="9.28515625" style="5" hidden="1" customWidth="1"/>
    <col min="4625" max="4628" width="11.28515625" style="5" customWidth="1"/>
    <col min="4629" max="4629" width="19.7109375" style="5" customWidth="1"/>
    <col min="4630" max="4868" width="9.140625" style="5"/>
    <col min="4869" max="4869" width="10.42578125" style="5" bestFit="1" customWidth="1"/>
    <col min="4870" max="4870" width="13.42578125" style="5" customWidth="1"/>
    <col min="4871" max="4871" width="12.42578125" style="5" customWidth="1"/>
    <col min="4872" max="4872" width="12.5703125" style="5" customWidth="1"/>
    <col min="4873" max="4875" width="13" style="5" customWidth="1"/>
    <col min="4876" max="4876" width="14.7109375" style="5" customWidth="1"/>
    <col min="4877" max="4880" width="9.28515625" style="5" hidden="1" customWidth="1"/>
    <col min="4881" max="4884" width="11.28515625" style="5" customWidth="1"/>
    <col min="4885" max="4885" width="19.7109375" style="5" customWidth="1"/>
    <col min="4886" max="5124" width="9.140625" style="5"/>
    <col min="5125" max="5125" width="10.42578125" style="5" bestFit="1" customWidth="1"/>
    <col min="5126" max="5126" width="13.42578125" style="5" customWidth="1"/>
    <col min="5127" max="5127" width="12.42578125" style="5" customWidth="1"/>
    <col min="5128" max="5128" width="12.5703125" style="5" customWidth="1"/>
    <col min="5129" max="5131" width="13" style="5" customWidth="1"/>
    <col min="5132" max="5132" width="14.7109375" style="5" customWidth="1"/>
    <col min="5133" max="5136" width="9.28515625" style="5" hidden="1" customWidth="1"/>
    <col min="5137" max="5140" width="11.28515625" style="5" customWidth="1"/>
    <col min="5141" max="5141" width="19.7109375" style="5" customWidth="1"/>
    <col min="5142" max="5380" width="9.140625" style="5"/>
    <col min="5381" max="5381" width="10.42578125" style="5" bestFit="1" customWidth="1"/>
    <col min="5382" max="5382" width="13.42578125" style="5" customWidth="1"/>
    <col min="5383" max="5383" width="12.42578125" style="5" customWidth="1"/>
    <col min="5384" max="5384" width="12.5703125" style="5" customWidth="1"/>
    <col min="5385" max="5387" width="13" style="5" customWidth="1"/>
    <col min="5388" max="5388" width="14.7109375" style="5" customWidth="1"/>
    <col min="5389" max="5392" width="9.28515625" style="5" hidden="1" customWidth="1"/>
    <col min="5393" max="5396" width="11.28515625" style="5" customWidth="1"/>
    <col min="5397" max="5397" width="19.7109375" style="5" customWidth="1"/>
    <col min="5398" max="5636" width="9.140625" style="5"/>
    <col min="5637" max="5637" width="10.42578125" style="5" bestFit="1" customWidth="1"/>
    <col min="5638" max="5638" width="13.42578125" style="5" customWidth="1"/>
    <col min="5639" max="5639" width="12.42578125" style="5" customWidth="1"/>
    <col min="5640" max="5640" width="12.5703125" style="5" customWidth="1"/>
    <col min="5641" max="5643" width="13" style="5" customWidth="1"/>
    <col min="5644" max="5644" width="14.7109375" style="5" customWidth="1"/>
    <col min="5645" max="5648" width="9.28515625" style="5" hidden="1" customWidth="1"/>
    <col min="5649" max="5652" width="11.28515625" style="5" customWidth="1"/>
    <col min="5653" max="5653" width="19.7109375" style="5" customWidth="1"/>
    <col min="5654" max="5892" width="9.140625" style="5"/>
    <col min="5893" max="5893" width="10.42578125" style="5" bestFit="1" customWidth="1"/>
    <col min="5894" max="5894" width="13.42578125" style="5" customWidth="1"/>
    <col min="5895" max="5895" width="12.42578125" style="5" customWidth="1"/>
    <col min="5896" max="5896" width="12.5703125" style="5" customWidth="1"/>
    <col min="5897" max="5899" width="13" style="5" customWidth="1"/>
    <col min="5900" max="5900" width="14.7109375" style="5" customWidth="1"/>
    <col min="5901" max="5904" width="9.28515625" style="5" hidden="1" customWidth="1"/>
    <col min="5905" max="5908" width="11.28515625" style="5" customWidth="1"/>
    <col min="5909" max="5909" width="19.7109375" style="5" customWidth="1"/>
    <col min="5910" max="6148" width="9.140625" style="5"/>
    <col min="6149" max="6149" width="10.42578125" style="5" bestFit="1" customWidth="1"/>
    <col min="6150" max="6150" width="13.42578125" style="5" customWidth="1"/>
    <col min="6151" max="6151" width="12.42578125" style="5" customWidth="1"/>
    <col min="6152" max="6152" width="12.5703125" style="5" customWidth="1"/>
    <col min="6153" max="6155" width="13" style="5" customWidth="1"/>
    <col min="6156" max="6156" width="14.7109375" style="5" customWidth="1"/>
    <col min="6157" max="6160" width="9.28515625" style="5" hidden="1" customWidth="1"/>
    <col min="6161" max="6164" width="11.28515625" style="5" customWidth="1"/>
    <col min="6165" max="6165" width="19.7109375" style="5" customWidth="1"/>
    <col min="6166" max="6404" width="9.140625" style="5"/>
    <col min="6405" max="6405" width="10.42578125" style="5" bestFit="1" customWidth="1"/>
    <col min="6406" max="6406" width="13.42578125" style="5" customWidth="1"/>
    <col min="6407" max="6407" width="12.42578125" style="5" customWidth="1"/>
    <col min="6408" max="6408" width="12.5703125" style="5" customWidth="1"/>
    <col min="6409" max="6411" width="13" style="5" customWidth="1"/>
    <col min="6412" max="6412" width="14.7109375" style="5" customWidth="1"/>
    <col min="6413" max="6416" width="9.28515625" style="5" hidden="1" customWidth="1"/>
    <col min="6417" max="6420" width="11.28515625" style="5" customWidth="1"/>
    <col min="6421" max="6421" width="19.7109375" style="5" customWidth="1"/>
    <col min="6422" max="6660" width="9.140625" style="5"/>
    <col min="6661" max="6661" width="10.42578125" style="5" bestFit="1" customWidth="1"/>
    <col min="6662" max="6662" width="13.42578125" style="5" customWidth="1"/>
    <col min="6663" max="6663" width="12.42578125" style="5" customWidth="1"/>
    <col min="6664" max="6664" width="12.5703125" style="5" customWidth="1"/>
    <col min="6665" max="6667" width="13" style="5" customWidth="1"/>
    <col min="6668" max="6668" width="14.7109375" style="5" customWidth="1"/>
    <col min="6669" max="6672" width="9.28515625" style="5" hidden="1" customWidth="1"/>
    <col min="6673" max="6676" width="11.28515625" style="5" customWidth="1"/>
    <col min="6677" max="6677" width="19.7109375" style="5" customWidth="1"/>
    <col min="6678" max="6916" width="9.140625" style="5"/>
    <col min="6917" max="6917" width="10.42578125" style="5" bestFit="1" customWidth="1"/>
    <col min="6918" max="6918" width="13.42578125" style="5" customWidth="1"/>
    <col min="6919" max="6919" width="12.42578125" style="5" customWidth="1"/>
    <col min="6920" max="6920" width="12.5703125" style="5" customWidth="1"/>
    <col min="6921" max="6923" width="13" style="5" customWidth="1"/>
    <col min="6924" max="6924" width="14.7109375" style="5" customWidth="1"/>
    <col min="6925" max="6928" width="9.28515625" style="5" hidden="1" customWidth="1"/>
    <col min="6929" max="6932" width="11.28515625" style="5" customWidth="1"/>
    <col min="6933" max="6933" width="19.7109375" style="5" customWidth="1"/>
    <col min="6934" max="7172" width="9.140625" style="5"/>
    <col min="7173" max="7173" width="10.42578125" style="5" bestFit="1" customWidth="1"/>
    <col min="7174" max="7174" width="13.42578125" style="5" customWidth="1"/>
    <col min="7175" max="7175" width="12.42578125" style="5" customWidth="1"/>
    <col min="7176" max="7176" width="12.5703125" style="5" customWidth="1"/>
    <col min="7177" max="7179" width="13" style="5" customWidth="1"/>
    <col min="7180" max="7180" width="14.7109375" style="5" customWidth="1"/>
    <col min="7181" max="7184" width="9.28515625" style="5" hidden="1" customWidth="1"/>
    <col min="7185" max="7188" width="11.28515625" style="5" customWidth="1"/>
    <col min="7189" max="7189" width="19.7109375" style="5" customWidth="1"/>
    <col min="7190" max="7428" width="9.140625" style="5"/>
    <col min="7429" max="7429" width="10.42578125" style="5" bestFit="1" customWidth="1"/>
    <col min="7430" max="7430" width="13.42578125" style="5" customWidth="1"/>
    <col min="7431" max="7431" width="12.42578125" style="5" customWidth="1"/>
    <col min="7432" max="7432" width="12.5703125" style="5" customWidth="1"/>
    <col min="7433" max="7435" width="13" style="5" customWidth="1"/>
    <col min="7436" max="7436" width="14.7109375" style="5" customWidth="1"/>
    <col min="7437" max="7440" width="9.28515625" style="5" hidden="1" customWidth="1"/>
    <col min="7441" max="7444" width="11.28515625" style="5" customWidth="1"/>
    <col min="7445" max="7445" width="19.7109375" style="5" customWidth="1"/>
    <col min="7446" max="7684" width="9.140625" style="5"/>
    <col min="7685" max="7685" width="10.42578125" style="5" bestFit="1" customWidth="1"/>
    <col min="7686" max="7686" width="13.42578125" style="5" customWidth="1"/>
    <col min="7687" max="7687" width="12.42578125" style="5" customWidth="1"/>
    <col min="7688" max="7688" width="12.5703125" style="5" customWidth="1"/>
    <col min="7689" max="7691" width="13" style="5" customWidth="1"/>
    <col min="7692" max="7692" width="14.7109375" style="5" customWidth="1"/>
    <col min="7693" max="7696" width="9.28515625" style="5" hidden="1" customWidth="1"/>
    <col min="7697" max="7700" width="11.28515625" style="5" customWidth="1"/>
    <col min="7701" max="7701" width="19.7109375" style="5" customWidth="1"/>
    <col min="7702" max="7940" width="9.140625" style="5"/>
    <col min="7941" max="7941" width="10.42578125" style="5" bestFit="1" customWidth="1"/>
    <col min="7942" max="7942" width="13.42578125" style="5" customWidth="1"/>
    <col min="7943" max="7943" width="12.42578125" style="5" customWidth="1"/>
    <col min="7944" max="7944" width="12.5703125" style="5" customWidth="1"/>
    <col min="7945" max="7947" width="13" style="5" customWidth="1"/>
    <col min="7948" max="7948" width="14.7109375" style="5" customWidth="1"/>
    <col min="7949" max="7952" width="9.28515625" style="5" hidden="1" customWidth="1"/>
    <col min="7953" max="7956" width="11.28515625" style="5" customWidth="1"/>
    <col min="7957" max="7957" width="19.7109375" style="5" customWidth="1"/>
    <col min="7958" max="8196" width="9.140625" style="5"/>
    <col min="8197" max="8197" width="10.42578125" style="5" bestFit="1" customWidth="1"/>
    <col min="8198" max="8198" width="13.42578125" style="5" customWidth="1"/>
    <col min="8199" max="8199" width="12.42578125" style="5" customWidth="1"/>
    <col min="8200" max="8200" width="12.5703125" style="5" customWidth="1"/>
    <col min="8201" max="8203" width="13" style="5" customWidth="1"/>
    <col min="8204" max="8204" width="14.7109375" style="5" customWidth="1"/>
    <col min="8205" max="8208" width="9.28515625" style="5" hidden="1" customWidth="1"/>
    <col min="8209" max="8212" width="11.28515625" style="5" customWidth="1"/>
    <col min="8213" max="8213" width="19.7109375" style="5" customWidth="1"/>
    <col min="8214" max="8452" width="9.140625" style="5"/>
    <col min="8453" max="8453" width="10.42578125" style="5" bestFit="1" customWidth="1"/>
    <col min="8454" max="8454" width="13.42578125" style="5" customWidth="1"/>
    <col min="8455" max="8455" width="12.42578125" style="5" customWidth="1"/>
    <col min="8456" max="8456" width="12.5703125" style="5" customWidth="1"/>
    <col min="8457" max="8459" width="13" style="5" customWidth="1"/>
    <col min="8460" max="8460" width="14.7109375" style="5" customWidth="1"/>
    <col min="8461" max="8464" width="9.28515625" style="5" hidden="1" customWidth="1"/>
    <col min="8465" max="8468" width="11.28515625" style="5" customWidth="1"/>
    <col min="8469" max="8469" width="19.7109375" style="5" customWidth="1"/>
    <col min="8470" max="8708" width="9.140625" style="5"/>
    <col min="8709" max="8709" width="10.42578125" style="5" bestFit="1" customWidth="1"/>
    <col min="8710" max="8710" width="13.42578125" style="5" customWidth="1"/>
    <col min="8711" max="8711" width="12.42578125" style="5" customWidth="1"/>
    <col min="8712" max="8712" width="12.5703125" style="5" customWidth="1"/>
    <col min="8713" max="8715" width="13" style="5" customWidth="1"/>
    <col min="8716" max="8716" width="14.7109375" style="5" customWidth="1"/>
    <col min="8717" max="8720" width="9.28515625" style="5" hidden="1" customWidth="1"/>
    <col min="8721" max="8724" width="11.28515625" style="5" customWidth="1"/>
    <col min="8725" max="8725" width="19.7109375" style="5" customWidth="1"/>
    <col min="8726" max="8964" width="9.140625" style="5"/>
    <col min="8965" max="8965" width="10.42578125" style="5" bestFit="1" customWidth="1"/>
    <col min="8966" max="8966" width="13.42578125" style="5" customWidth="1"/>
    <col min="8967" max="8967" width="12.42578125" style="5" customWidth="1"/>
    <col min="8968" max="8968" width="12.5703125" style="5" customWidth="1"/>
    <col min="8969" max="8971" width="13" style="5" customWidth="1"/>
    <col min="8972" max="8972" width="14.7109375" style="5" customWidth="1"/>
    <col min="8973" max="8976" width="9.28515625" style="5" hidden="1" customWidth="1"/>
    <col min="8977" max="8980" width="11.28515625" style="5" customWidth="1"/>
    <col min="8981" max="8981" width="19.7109375" style="5" customWidth="1"/>
    <col min="8982" max="9220" width="9.140625" style="5"/>
    <col min="9221" max="9221" width="10.42578125" style="5" bestFit="1" customWidth="1"/>
    <col min="9222" max="9222" width="13.42578125" style="5" customWidth="1"/>
    <col min="9223" max="9223" width="12.42578125" style="5" customWidth="1"/>
    <col min="9224" max="9224" width="12.5703125" style="5" customWidth="1"/>
    <col min="9225" max="9227" width="13" style="5" customWidth="1"/>
    <col min="9228" max="9228" width="14.7109375" style="5" customWidth="1"/>
    <col min="9229" max="9232" width="9.28515625" style="5" hidden="1" customWidth="1"/>
    <col min="9233" max="9236" width="11.28515625" style="5" customWidth="1"/>
    <col min="9237" max="9237" width="19.7109375" style="5" customWidth="1"/>
    <col min="9238" max="9476" width="9.140625" style="5"/>
    <col min="9477" max="9477" width="10.42578125" style="5" bestFit="1" customWidth="1"/>
    <col min="9478" max="9478" width="13.42578125" style="5" customWidth="1"/>
    <col min="9479" max="9479" width="12.42578125" style="5" customWidth="1"/>
    <col min="9480" max="9480" width="12.5703125" style="5" customWidth="1"/>
    <col min="9481" max="9483" width="13" style="5" customWidth="1"/>
    <col min="9484" max="9484" width="14.7109375" style="5" customWidth="1"/>
    <col min="9485" max="9488" width="9.28515625" style="5" hidden="1" customWidth="1"/>
    <col min="9489" max="9492" width="11.28515625" style="5" customWidth="1"/>
    <col min="9493" max="9493" width="19.7109375" style="5" customWidth="1"/>
    <col min="9494" max="9732" width="9.140625" style="5"/>
    <col min="9733" max="9733" width="10.42578125" style="5" bestFit="1" customWidth="1"/>
    <col min="9734" max="9734" width="13.42578125" style="5" customWidth="1"/>
    <col min="9735" max="9735" width="12.42578125" style="5" customWidth="1"/>
    <col min="9736" max="9736" width="12.5703125" style="5" customWidth="1"/>
    <col min="9737" max="9739" width="13" style="5" customWidth="1"/>
    <col min="9740" max="9740" width="14.7109375" style="5" customWidth="1"/>
    <col min="9741" max="9744" width="9.28515625" style="5" hidden="1" customWidth="1"/>
    <col min="9745" max="9748" width="11.28515625" style="5" customWidth="1"/>
    <col min="9749" max="9749" width="19.7109375" style="5" customWidth="1"/>
    <col min="9750" max="9988" width="9.140625" style="5"/>
    <col min="9989" max="9989" width="10.42578125" style="5" bestFit="1" customWidth="1"/>
    <col min="9990" max="9990" width="13.42578125" style="5" customWidth="1"/>
    <col min="9991" max="9991" width="12.42578125" style="5" customWidth="1"/>
    <col min="9992" max="9992" width="12.5703125" style="5" customWidth="1"/>
    <col min="9993" max="9995" width="13" style="5" customWidth="1"/>
    <col min="9996" max="9996" width="14.7109375" style="5" customWidth="1"/>
    <col min="9997" max="10000" width="9.28515625" style="5" hidden="1" customWidth="1"/>
    <col min="10001" max="10004" width="11.28515625" style="5" customWidth="1"/>
    <col min="10005" max="10005" width="19.7109375" style="5" customWidth="1"/>
    <col min="10006" max="10244" width="9.140625" style="5"/>
    <col min="10245" max="10245" width="10.42578125" style="5" bestFit="1" customWidth="1"/>
    <col min="10246" max="10246" width="13.42578125" style="5" customWidth="1"/>
    <col min="10247" max="10247" width="12.42578125" style="5" customWidth="1"/>
    <col min="10248" max="10248" width="12.5703125" style="5" customWidth="1"/>
    <col min="10249" max="10251" width="13" style="5" customWidth="1"/>
    <col min="10252" max="10252" width="14.7109375" style="5" customWidth="1"/>
    <col min="10253" max="10256" width="9.28515625" style="5" hidden="1" customWidth="1"/>
    <col min="10257" max="10260" width="11.28515625" style="5" customWidth="1"/>
    <col min="10261" max="10261" width="19.7109375" style="5" customWidth="1"/>
    <col min="10262" max="10500" width="9.140625" style="5"/>
    <col min="10501" max="10501" width="10.42578125" style="5" bestFit="1" customWidth="1"/>
    <col min="10502" max="10502" width="13.42578125" style="5" customWidth="1"/>
    <col min="10503" max="10503" width="12.42578125" style="5" customWidth="1"/>
    <col min="10504" max="10504" width="12.5703125" style="5" customWidth="1"/>
    <col min="10505" max="10507" width="13" style="5" customWidth="1"/>
    <col min="10508" max="10508" width="14.7109375" style="5" customWidth="1"/>
    <col min="10509" max="10512" width="9.28515625" style="5" hidden="1" customWidth="1"/>
    <col min="10513" max="10516" width="11.28515625" style="5" customWidth="1"/>
    <col min="10517" max="10517" width="19.7109375" style="5" customWidth="1"/>
    <col min="10518" max="10756" width="9.140625" style="5"/>
    <col min="10757" max="10757" width="10.42578125" style="5" bestFit="1" customWidth="1"/>
    <col min="10758" max="10758" width="13.42578125" style="5" customWidth="1"/>
    <col min="10759" max="10759" width="12.42578125" style="5" customWidth="1"/>
    <col min="10760" max="10760" width="12.5703125" style="5" customWidth="1"/>
    <col min="10761" max="10763" width="13" style="5" customWidth="1"/>
    <col min="10764" max="10764" width="14.7109375" style="5" customWidth="1"/>
    <col min="10765" max="10768" width="9.28515625" style="5" hidden="1" customWidth="1"/>
    <col min="10769" max="10772" width="11.28515625" style="5" customWidth="1"/>
    <col min="10773" max="10773" width="19.7109375" style="5" customWidth="1"/>
    <col min="10774" max="11012" width="9.140625" style="5"/>
    <col min="11013" max="11013" width="10.42578125" style="5" bestFit="1" customWidth="1"/>
    <col min="11014" max="11014" width="13.42578125" style="5" customWidth="1"/>
    <col min="11015" max="11015" width="12.42578125" style="5" customWidth="1"/>
    <col min="11016" max="11016" width="12.5703125" style="5" customWidth="1"/>
    <col min="11017" max="11019" width="13" style="5" customWidth="1"/>
    <col min="11020" max="11020" width="14.7109375" style="5" customWidth="1"/>
    <col min="11021" max="11024" width="9.28515625" style="5" hidden="1" customWidth="1"/>
    <col min="11025" max="11028" width="11.28515625" style="5" customWidth="1"/>
    <col min="11029" max="11029" width="19.7109375" style="5" customWidth="1"/>
    <col min="11030" max="11268" width="9.140625" style="5"/>
    <col min="11269" max="11269" width="10.42578125" style="5" bestFit="1" customWidth="1"/>
    <col min="11270" max="11270" width="13.42578125" style="5" customWidth="1"/>
    <col min="11271" max="11271" width="12.42578125" style="5" customWidth="1"/>
    <col min="11272" max="11272" width="12.5703125" style="5" customWidth="1"/>
    <col min="11273" max="11275" width="13" style="5" customWidth="1"/>
    <col min="11276" max="11276" width="14.7109375" style="5" customWidth="1"/>
    <col min="11277" max="11280" width="9.28515625" style="5" hidden="1" customWidth="1"/>
    <col min="11281" max="11284" width="11.28515625" style="5" customWidth="1"/>
    <col min="11285" max="11285" width="19.7109375" style="5" customWidth="1"/>
    <col min="11286" max="11524" width="9.140625" style="5"/>
    <col min="11525" max="11525" width="10.42578125" style="5" bestFit="1" customWidth="1"/>
    <col min="11526" max="11526" width="13.42578125" style="5" customWidth="1"/>
    <col min="11527" max="11527" width="12.42578125" style="5" customWidth="1"/>
    <col min="11528" max="11528" width="12.5703125" style="5" customWidth="1"/>
    <col min="11529" max="11531" width="13" style="5" customWidth="1"/>
    <col min="11532" max="11532" width="14.7109375" style="5" customWidth="1"/>
    <col min="11533" max="11536" width="9.28515625" style="5" hidden="1" customWidth="1"/>
    <col min="11537" max="11540" width="11.28515625" style="5" customWidth="1"/>
    <col min="11541" max="11541" width="19.7109375" style="5" customWidth="1"/>
    <col min="11542" max="11780" width="9.140625" style="5"/>
    <col min="11781" max="11781" width="10.42578125" style="5" bestFit="1" customWidth="1"/>
    <col min="11782" max="11782" width="13.42578125" style="5" customWidth="1"/>
    <col min="11783" max="11783" width="12.42578125" style="5" customWidth="1"/>
    <col min="11784" max="11784" width="12.5703125" style="5" customWidth="1"/>
    <col min="11785" max="11787" width="13" style="5" customWidth="1"/>
    <col min="11788" max="11788" width="14.7109375" style="5" customWidth="1"/>
    <col min="11789" max="11792" width="9.28515625" style="5" hidden="1" customWidth="1"/>
    <col min="11793" max="11796" width="11.28515625" style="5" customWidth="1"/>
    <col min="11797" max="11797" width="19.7109375" style="5" customWidth="1"/>
    <col min="11798" max="12036" width="9.140625" style="5"/>
    <col min="12037" max="12037" width="10.42578125" style="5" bestFit="1" customWidth="1"/>
    <col min="12038" max="12038" width="13.42578125" style="5" customWidth="1"/>
    <col min="12039" max="12039" width="12.42578125" style="5" customWidth="1"/>
    <col min="12040" max="12040" width="12.5703125" style="5" customWidth="1"/>
    <col min="12041" max="12043" width="13" style="5" customWidth="1"/>
    <col min="12044" max="12044" width="14.7109375" style="5" customWidth="1"/>
    <col min="12045" max="12048" width="9.28515625" style="5" hidden="1" customWidth="1"/>
    <col min="12049" max="12052" width="11.28515625" style="5" customWidth="1"/>
    <col min="12053" max="12053" width="19.7109375" style="5" customWidth="1"/>
    <col min="12054" max="12292" width="9.140625" style="5"/>
    <col min="12293" max="12293" width="10.42578125" style="5" bestFit="1" customWidth="1"/>
    <col min="12294" max="12294" width="13.42578125" style="5" customWidth="1"/>
    <col min="12295" max="12295" width="12.42578125" style="5" customWidth="1"/>
    <col min="12296" max="12296" width="12.5703125" style="5" customWidth="1"/>
    <col min="12297" max="12299" width="13" style="5" customWidth="1"/>
    <col min="12300" max="12300" width="14.7109375" style="5" customWidth="1"/>
    <col min="12301" max="12304" width="9.28515625" style="5" hidden="1" customWidth="1"/>
    <col min="12305" max="12308" width="11.28515625" style="5" customWidth="1"/>
    <col min="12309" max="12309" width="19.7109375" style="5" customWidth="1"/>
    <col min="12310" max="12548" width="9.140625" style="5"/>
    <col min="12549" max="12549" width="10.42578125" style="5" bestFit="1" customWidth="1"/>
    <col min="12550" max="12550" width="13.42578125" style="5" customWidth="1"/>
    <col min="12551" max="12551" width="12.42578125" style="5" customWidth="1"/>
    <col min="12552" max="12552" width="12.5703125" style="5" customWidth="1"/>
    <col min="12553" max="12555" width="13" style="5" customWidth="1"/>
    <col min="12556" max="12556" width="14.7109375" style="5" customWidth="1"/>
    <col min="12557" max="12560" width="9.28515625" style="5" hidden="1" customWidth="1"/>
    <col min="12561" max="12564" width="11.28515625" style="5" customWidth="1"/>
    <col min="12565" max="12565" width="19.7109375" style="5" customWidth="1"/>
    <col min="12566" max="12804" width="9.140625" style="5"/>
    <col min="12805" max="12805" width="10.42578125" style="5" bestFit="1" customWidth="1"/>
    <col min="12806" max="12806" width="13.42578125" style="5" customWidth="1"/>
    <col min="12807" max="12807" width="12.42578125" style="5" customWidth="1"/>
    <col min="12808" max="12808" width="12.5703125" style="5" customWidth="1"/>
    <col min="12809" max="12811" width="13" style="5" customWidth="1"/>
    <col min="12812" max="12812" width="14.7109375" style="5" customWidth="1"/>
    <col min="12813" max="12816" width="9.28515625" style="5" hidden="1" customWidth="1"/>
    <col min="12817" max="12820" width="11.28515625" style="5" customWidth="1"/>
    <col min="12821" max="12821" width="19.7109375" style="5" customWidth="1"/>
    <col min="12822" max="13060" width="9.140625" style="5"/>
    <col min="13061" max="13061" width="10.42578125" style="5" bestFit="1" customWidth="1"/>
    <col min="13062" max="13062" width="13.42578125" style="5" customWidth="1"/>
    <col min="13063" max="13063" width="12.42578125" style="5" customWidth="1"/>
    <col min="13064" max="13064" width="12.5703125" style="5" customWidth="1"/>
    <col min="13065" max="13067" width="13" style="5" customWidth="1"/>
    <col min="13068" max="13068" width="14.7109375" style="5" customWidth="1"/>
    <col min="13069" max="13072" width="9.28515625" style="5" hidden="1" customWidth="1"/>
    <col min="13073" max="13076" width="11.28515625" style="5" customWidth="1"/>
    <col min="13077" max="13077" width="19.7109375" style="5" customWidth="1"/>
    <col min="13078" max="13316" width="9.140625" style="5"/>
    <col min="13317" max="13317" width="10.42578125" style="5" bestFit="1" customWidth="1"/>
    <col min="13318" max="13318" width="13.42578125" style="5" customWidth="1"/>
    <col min="13319" max="13319" width="12.42578125" style="5" customWidth="1"/>
    <col min="13320" max="13320" width="12.5703125" style="5" customWidth="1"/>
    <col min="13321" max="13323" width="13" style="5" customWidth="1"/>
    <col min="13324" max="13324" width="14.7109375" style="5" customWidth="1"/>
    <col min="13325" max="13328" width="9.28515625" style="5" hidden="1" customWidth="1"/>
    <col min="13329" max="13332" width="11.28515625" style="5" customWidth="1"/>
    <col min="13333" max="13333" width="19.7109375" style="5" customWidth="1"/>
    <col min="13334" max="13572" width="9.140625" style="5"/>
    <col min="13573" max="13573" width="10.42578125" style="5" bestFit="1" customWidth="1"/>
    <col min="13574" max="13574" width="13.42578125" style="5" customWidth="1"/>
    <col min="13575" max="13575" width="12.42578125" style="5" customWidth="1"/>
    <col min="13576" max="13576" width="12.5703125" style="5" customWidth="1"/>
    <col min="13577" max="13579" width="13" style="5" customWidth="1"/>
    <col min="13580" max="13580" width="14.7109375" style="5" customWidth="1"/>
    <col min="13581" max="13584" width="9.28515625" style="5" hidden="1" customWidth="1"/>
    <col min="13585" max="13588" width="11.28515625" style="5" customWidth="1"/>
    <col min="13589" max="13589" width="19.7109375" style="5" customWidth="1"/>
    <col min="13590" max="13828" width="9.140625" style="5"/>
    <col min="13829" max="13829" width="10.42578125" style="5" bestFit="1" customWidth="1"/>
    <col min="13830" max="13830" width="13.42578125" style="5" customWidth="1"/>
    <col min="13831" max="13831" width="12.42578125" style="5" customWidth="1"/>
    <col min="13832" max="13832" width="12.5703125" style="5" customWidth="1"/>
    <col min="13833" max="13835" width="13" style="5" customWidth="1"/>
    <col min="13836" max="13836" width="14.7109375" style="5" customWidth="1"/>
    <col min="13837" max="13840" width="9.28515625" style="5" hidden="1" customWidth="1"/>
    <col min="13841" max="13844" width="11.28515625" style="5" customWidth="1"/>
    <col min="13845" max="13845" width="19.7109375" style="5" customWidth="1"/>
    <col min="13846" max="14084" width="9.140625" style="5"/>
    <col min="14085" max="14085" width="10.42578125" style="5" bestFit="1" customWidth="1"/>
    <col min="14086" max="14086" width="13.42578125" style="5" customWidth="1"/>
    <col min="14087" max="14087" width="12.42578125" style="5" customWidth="1"/>
    <col min="14088" max="14088" width="12.5703125" style="5" customWidth="1"/>
    <col min="14089" max="14091" width="13" style="5" customWidth="1"/>
    <col min="14092" max="14092" width="14.7109375" style="5" customWidth="1"/>
    <col min="14093" max="14096" width="9.28515625" style="5" hidden="1" customWidth="1"/>
    <col min="14097" max="14100" width="11.28515625" style="5" customWidth="1"/>
    <col min="14101" max="14101" width="19.7109375" style="5" customWidth="1"/>
    <col min="14102" max="14340" width="9.140625" style="5"/>
    <col min="14341" max="14341" width="10.42578125" style="5" bestFit="1" customWidth="1"/>
    <col min="14342" max="14342" width="13.42578125" style="5" customWidth="1"/>
    <col min="14343" max="14343" width="12.42578125" style="5" customWidth="1"/>
    <col min="14344" max="14344" width="12.5703125" style="5" customWidth="1"/>
    <col min="14345" max="14347" width="13" style="5" customWidth="1"/>
    <col min="14348" max="14348" width="14.7109375" style="5" customWidth="1"/>
    <col min="14349" max="14352" width="9.28515625" style="5" hidden="1" customWidth="1"/>
    <col min="14353" max="14356" width="11.28515625" style="5" customWidth="1"/>
    <col min="14357" max="14357" width="19.7109375" style="5" customWidth="1"/>
    <col min="14358" max="14596" width="9.140625" style="5"/>
    <col min="14597" max="14597" width="10.42578125" style="5" bestFit="1" customWidth="1"/>
    <col min="14598" max="14598" width="13.42578125" style="5" customWidth="1"/>
    <col min="14599" max="14599" width="12.42578125" style="5" customWidth="1"/>
    <col min="14600" max="14600" width="12.5703125" style="5" customWidth="1"/>
    <col min="14601" max="14603" width="13" style="5" customWidth="1"/>
    <col min="14604" max="14604" width="14.7109375" style="5" customWidth="1"/>
    <col min="14605" max="14608" width="9.28515625" style="5" hidden="1" customWidth="1"/>
    <col min="14609" max="14612" width="11.28515625" style="5" customWidth="1"/>
    <col min="14613" max="14613" width="19.7109375" style="5" customWidth="1"/>
    <col min="14614" max="14852" width="9.140625" style="5"/>
    <col min="14853" max="14853" width="10.42578125" style="5" bestFit="1" customWidth="1"/>
    <col min="14854" max="14854" width="13.42578125" style="5" customWidth="1"/>
    <col min="14855" max="14855" width="12.42578125" style="5" customWidth="1"/>
    <col min="14856" max="14856" width="12.5703125" style="5" customWidth="1"/>
    <col min="14857" max="14859" width="13" style="5" customWidth="1"/>
    <col min="14860" max="14860" width="14.7109375" style="5" customWidth="1"/>
    <col min="14861" max="14864" width="9.28515625" style="5" hidden="1" customWidth="1"/>
    <col min="14865" max="14868" width="11.28515625" style="5" customWidth="1"/>
    <col min="14869" max="14869" width="19.7109375" style="5" customWidth="1"/>
    <col min="14870" max="15108" width="9.140625" style="5"/>
    <col min="15109" max="15109" width="10.42578125" style="5" bestFit="1" customWidth="1"/>
    <col min="15110" max="15110" width="13.42578125" style="5" customWidth="1"/>
    <col min="15111" max="15111" width="12.42578125" style="5" customWidth="1"/>
    <col min="15112" max="15112" width="12.5703125" style="5" customWidth="1"/>
    <col min="15113" max="15115" width="13" style="5" customWidth="1"/>
    <col min="15116" max="15116" width="14.7109375" style="5" customWidth="1"/>
    <col min="15117" max="15120" width="9.28515625" style="5" hidden="1" customWidth="1"/>
    <col min="15121" max="15124" width="11.28515625" style="5" customWidth="1"/>
    <col min="15125" max="15125" width="19.7109375" style="5" customWidth="1"/>
    <col min="15126" max="15364" width="9.140625" style="5"/>
    <col min="15365" max="15365" width="10.42578125" style="5" bestFit="1" customWidth="1"/>
    <col min="15366" max="15366" width="13.42578125" style="5" customWidth="1"/>
    <col min="15367" max="15367" width="12.42578125" style="5" customWidth="1"/>
    <col min="15368" max="15368" width="12.5703125" style="5" customWidth="1"/>
    <col min="15369" max="15371" width="13" style="5" customWidth="1"/>
    <col min="15372" max="15372" width="14.7109375" style="5" customWidth="1"/>
    <col min="15373" max="15376" width="9.28515625" style="5" hidden="1" customWidth="1"/>
    <col min="15377" max="15380" width="11.28515625" style="5" customWidth="1"/>
    <col min="15381" max="15381" width="19.7109375" style="5" customWidth="1"/>
    <col min="15382" max="15620" width="9.140625" style="5"/>
    <col min="15621" max="15621" width="10.42578125" style="5" bestFit="1" customWidth="1"/>
    <col min="15622" max="15622" width="13.42578125" style="5" customWidth="1"/>
    <col min="15623" max="15623" width="12.42578125" style="5" customWidth="1"/>
    <col min="15624" max="15624" width="12.5703125" style="5" customWidth="1"/>
    <col min="15625" max="15627" width="13" style="5" customWidth="1"/>
    <col min="15628" max="15628" width="14.7109375" style="5" customWidth="1"/>
    <col min="15629" max="15632" width="9.28515625" style="5" hidden="1" customWidth="1"/>
    <col min="15633" max="15636" width="11.28515625" style="5" customWidth="1"/>
    <col min="15637" max="15637" width="19.7109375" style="5" customWidth="1"/>
    <col min="15638" max="15876" width="9.140625" style="5"/>
    <col min="15877" max="15877" width="10.42578125" style="5" bestFit="1" customWidth="1"/>
    <col min="15878" max="15878" width="13.42578125" style="5" customWidth="1"/>
    <col min="15879" max="15879" width="12.42578125" style="5" customWidth="1"/>
    <col min="15880" max="15880" width="12.5703125" style="5" customWidth="1"/>
    <col min="15881" max="15883" width="13" style="5" customWidth="1"/>
    <col min="15884" max="15884" width="14.7109375" style="5" customWidth="1"/>
    <col min="15885" max="15888" width="9.28515625" style="5" hidden="1" customWidth="1"/>
    <col min="15889" max="15892" width="11.28515625" style="5" customWidth="1"/>
    <col min="15893" max="15893" width="19.7109375" style="5" customWidth="1"/>
    <col min="15894" max="16132" width="9.140625" style="5"/>
    <col min="16133" max="16133" width="10.42578125" style="5" bestFit="1" customWidth="1"/>
    <col min="16134" max="16134" width="13.42578125" style="5" customWidth="1"/>
    <col min="16135" max="16135" width="12.42578125" style="5" customWidth="1"/>
    <col min="16136" max="16136" width="12.5703125" style="5" customWidth="1"/>
    <col min="16137" max="16139" width="13" style="5" customWidth="1"/>
    <col min="16140" max="16140" width="14.7109375" style="5" customWidth="1"/>
    <col min="16141" max="16144" width="9.28515625" style="5" hidden="1" customWidth="1"/>
    <col min="16145" max="16148" width="11.28515625" style="5" customWidth="1"/>
    <col min="16149" max="16149" width="19.7109375" style="5" customWidth="1"/>
    <col min="16150" max="16384" width="9.140625" style="5"/>
  </cols>
  <sheetData>
    <row r="1" spans="1:25" ht="13.5" thickBot="1">
      <c r="A1" s="1" t="s">
        <v>0</v>
      </c>
      <c r="B1" s="207" t="s">
        <v>124</v>
      </c>
      <c r="C1" s="207"/>
      <c r="D1" s="207"/>
      <c r="E1" s="127"/>
      <c r="F1" s="127"/>
      <c r="G1" s="1" t="s">
        <v>1</v>
      </c>
      <c r="H1" s="2">
        <v>9</v>
      </c>
      <c r="I1" s="2"/>
      <c r="J1" s="3" t="s">
        <v>2</v>
      </c>
      <c r="K1" s="4">
        <v>44197</v>
      </c>
      <c r="N1" s="210" t="s">
        <v>3</v>
      </c>
      <c r="O1" s="210"/>
    </row>
    <row r="2" spans="1:25">
      <c r="A2" s="1" t="s">
        <v>4</v>
      </c>
      <c r="B2" s="208">
        <v>249356565</v>
      </c>
      <c r="C2" s="208"/>
      <c r="D2" s="208"/>
      <c r="E2" s="128"/>
      <c r="F2" s="128"/>
      <c r="H2" s="6"/>
      <c r="I2" s="6"/>
      <c r="J2" s="3" t="s">
        <v>5</v>
      </c>
      <c r="K2" s="4">
        <v>22486</v>
      </c>
      <c r="M2" s="7">
        <v>2007</v>
      </c>
      <c r="N2" s="11">
        <v>2007</v>
      </c>
      <c r="O2" s="11">
        <v>2007</v>
      </c>
      <c r="Q2" s="8">
        <v>58000</v>
      </c>
      <c r="R2" s="9"/>
      <c r="S2" s="9"/>
      <c r="T2" s="8">
        <v>19500</v>
      </c>
      <c r="U2" s="10"/>
    </row>
    <row r="3" spans="1:25">
      <c r="A3" s="11" t="s">
        <v>6</v>
      </c>
      <c r="B3" s="11" t="s">
        <v>7</v>
      </c>
      <c r="C3" s="11" t="s">
        <v>138</v>
      </c>
      <c r="D3" s="11" t="s">
        <v>8</v>
      </c>
      <c r="E3" s="11" t="s">
        <v>140</v>
      </c>
      <c r="F3" s="11" t="s">
        <v>8</v>
      </c>
      <c r="G3" s="11" t="s">
        <v>9</v>
      </c>
      <c r="H3" s="11" t="s">
        <v>10</v>
      </c>
      <c r="I3" s="11" t="s">
        <v>53</v>
      </c>
      <c r="J3" s="3" t="s">
        <v>11</v>
      </c>
      <c r="K3" s="35">
        <v>79333.320000000007</v>
      </c>
      <c r="L3" s="49"/>
      <c r="M3" s="12" t="s">
        <v>12</v>
      </c>
      <c r="N3" s="13" t="s">
        <v>13</v>
      </c>
      <c r="O3" s="13" t="s">
        <v>13</v>
      </c>
      <c r="Q3" s="14">
        <f>-SUM(D30+F30+G30)</f>
        <v>-23418.480000000003</v>
      </c>
      <c r="T3" s="14">
        <v>0</v>
      </c>
      <c r="U3" s="15" t="s">
        <v>14</v>
      </c>
      <c r="W3" s="16"/>
    </row>
    <row r="4" spans="1:25" ht="13.5" thickBot="1">
      <c r="A4" s="17" t="s">
        <v>15</v>
      </c>
      <c r="B4" s="13" t="s">
        <v>16</v>
      </c>
      <c r="C4" s="13" t="s">
        <v>139</v>
      </c>
      <c r="D4" s="13" t="s">
        <v>16</v>
      </c>
      <c r="E4" s="13" t="s">
        <v>139</v>
      </c>
      <c r="F4" s="13" t="s">
        <v>16</v>
      </c>
      <c r="G4" s="13" t="s">
        <v>16</v>
      </c>
      <c r="H4" s="13" t="s">
        <v>16</v>
      </c>
      <c r="I4" s="13" t="s">
        <v>16</v>
      </c>
      <c r="J4" s="3" t="s">
        <v>17</v>
      </c>
      <c r="K4" s="121">
        <f>K3/9</f>
        <v>8814.8133333333335</v>
      </c>
      <c r="L4" s="49"/>
      <c r="M4" s="12" t="s">
        <v>16</v>
      </c>
      <c r="N4" s="13" t="s">
        <v>18</v>
      </c>
      <c r="O4" s="13" t="s">
        <v>19</v>
      </c>
      <c r="Q4" s="19">
        <f>SUM(Q2:Q3)</f>
        <v>34581.519999999997</v>
      </c>
      <c r="R4" s="20" t="s">
        <v>44</v>
      </c>
      <c r="S4" s="20"/>
      <c r="T4" s="14">
        <v>6500</v>
      </c>
      <c r="U4" s="15" t="s">
        <v>20</v>
      </c>
      <c r="W4" s="16"/>
    </row>
    <row r="5" spans="1:25">
      <c r="A5" s="21" t="s">
        <v>21</v>
      </c>
      <c r="B5" s="21" t="s">
        <v>22</v>
      </c>
      <c r="C5" s="21"/>
      <c r="D5" s="21" t="s">
        <v>46</v>
      </c>
      <c r="E5" s="21"/>
      <c r="F5" s="21" t="s">
        <v>117</v>
      </c>
      <c r="G5" s="21" t="s">
        <v>118</v>
      </c>
      <c r="H5" s="21">
        <v>26000</v>
      </c>
      <c r="I5" s="21">
        <v>26000</v>
      </c>
      <c r="J5" s="3" t="s">
        <v>26</v>
      </c>
      <c r="K5" s="35">
        <f>K4/2</f>
        <v>4407.4066666666668</v>
      </c>
      <c r="L5" s="49"/>
      <c r="M5" s="22" t="s">
        <v>27</v>
      </c>
      <c r="N5" s="21" t="s">
        <v>28</v>
      </c>
      <c r="O5" s="21" t="s">
        <v>28</v>
      </c>
      <c r="T5" s="14">
        <f>-F30</f>
        <v>-2927.3200000000006</v>
      </c>
      <c r="U5" s="15" t="s">
        <v>29</v>
      </c>
      <c r="W5" s="16"/>
    </row>
    <row r="6" spans="1:25" ht="13.5" thickBot="1">
      <c r="A6" s="23">
        <v>40553</v>
      </c>
      <c r="B6" s="24">
        <v>0</v>
      </c>
      <c r="C6" s="154">
        <f>B6*0.075</f>
        <v>0</v>
      </c>
      <c r="D6" s="25">
        <v>0</v>
      </c>
      <c r="E6" s="172">
        <f>B6*0.025</f>
        <v>0</v>
      </c>
      <c r="F6" s="25">
        <v>0</v>
      </c>
      <c r="G6" s="26">
        <f t="shared" ref="G6:G21" si="0">D6+F6</f>
        <v>0</v>
      </c>
      <c r="H6" s="27">
        <v>0</v>
      </c>
      <c r="I6" s="27">
        <v>0</v>
      </c>
      <c r="K6" s="16"/>
      <c r="L6" s="28"/>
      <c r="M6" s="29" t="e">
        <f>IF(#REF!/5&gt;$H$6,H6,(#REF!/5))</f>
        <v>#REF!</v>
      </c>
      <c r="N6" s="30" t="e">
        <f>#REF!/5</f>
        <v>#REF!</v>
      </c>
      <c r="O6" s="30" t="e">
        <f>#REF!/5 +H6</f>
        <v>#REF!</v>
      </c>
      <c r="Q6" s="76" t="s">
        <v>116</v>
      </c>
      <c r="R6" s="77"/>
      <c r="S6" s="77"/>
      <c r="T6" s="19">
        <f>SUM(T2:T5)</f>
        <v>23072.68</v>
      </c>
      <c r="U6" s="32" t="s">
        <v>93</v>
      </c>
      <c r="W6" s="16"/>
    </row>
    <row r="7" spans="1:25" ht="13.5" thickBot="1">
      <c r="A7" s="23">
        <v>40568</v>
      </c>
      <c r="B7" s="24">
        <v>4312.51</v>
      </c>
      <c r="C7" s="155">
        <f t="shared" ref="C7:C29" si="1">B7*0.075</f>
        <v>323.43824999999998</v>
      </c>
      <c r="D7" s="25">
        <v>0</v>
      </c>
      <c r="E7" s="172">
        <f t="shared" ref="E7:E29" si="2">B7*0.025</f>
        <v>107.81275000000001</v>
      </c>
      <c r="F7" s="25">
        <v>0</v>
      </c>
      <c r="G7" s="26">
        <f t="shared" si="0"/>
        <v>0</v>
      </c>
      <c r="H7" s="27">
        <v>0</v>
      </c>
      <c r="I7" s="27">
        <v>0</v>
      </c>
      <c r="K7" s="16"/>
      <c r="L7" s="28"/>
      <c r="M7" s="29" t="e">
        <f>IF(#REF!/5&gt;$H$6,#REF!,(#REF!/5))</f>
        <v>#REF!</v>
      </c>
      <c r="N7" s="30" t="e">
        <f>#REF!/5</f>
        <v>#REF!</v>
      </c>
      <c r="O7" s="30" t="e">
        <f>#REF!/5 +#REF!</f>
        <v>#REF!</v>
      </c>
      <c r="Q7" s="76" t="s">
        <v>107</v>
      </c>
      <c r="R7" s="77"/>
      <c r="S7" s="77"/>
      <c r="T7" s="78" t="s">
        <v>45</v>
      </c>
      <c r="U7" s="79"/>
      <c r="W7" s="16"/>
    </row>
    <row r="8" spans="1:25">
      <c r="A8" s="23">
        <v>40584</v>
      </c>
      <c r="B8" s="24">
        <v>4312.51</v>
      </c>
      <c r="C8" s="155">
        <f t="shared" si="1"/>
        <v>323.43824999999998</v>
      </c>
      <c r="D8" s="25">
        <v>0</v>
      </c>
      <c r="E8" s="172">
        <f t="shared" si="2"/>
        <v>107.81275000000001</v>
      </c>
      <c r="F8" s="25">
        <v>0</v>
      </c>
      <c r="G8" s="26">
        <f t="shared" si="0"/>
        <v>0</v>
      </c>
      <c r="H8" s="27">
        <v>0</v>
      </c>
      <c r="I8" s="27">
        <v>0</v>
      </c>
      <c r="K8" s="16"/>
      <c r="L8" s="28"/>
      <c r="M8" s="29" t="e">
        <f>IF(#REF!/5&gt;$H$6,H10,(#REF!/5))</f>
        <v>#REF!</v>
      </c>
      <c r="N8" s="30" t="e">
        <f>#REF!/5</f>
        <v>#REF!</v>
      </c>
      <c r="O8" s="30" t="e">
        <f>#REF!/5+H10</f>
        <v>#REF!</v>
      </c>
      <c r="Q8" s="31"/>
      <c r="T8" s="33">
        <f>Q4</f>
        <v>34581.519999999997</v>
      </c>
      <c r="U8" s="34" t="s">
        <v>101</v>
      </c>
      <c r="W8" s="16"/>
    </row>
    <row r="9" spans="1:25">
      <c r="A9" s="23">
        <v>40599</v>
      </c>
      <c r="B9" s="24">
        <v>7062.52</v>
      </c>
      <c r="C9" s="155">
        <f t="shared" si="1"/>
        <v>529.68899999999996</v>
      </c>
      <c r="D9" s="25">
        <v>0</v>
      </c>
      <c r="E9" s="172">
        <f t="shared" si="2"/>
        <v>176.56300000000002</v>
      </c>
      <c r="F9" s="25">
        <v>0</v>
      </c>
      <c r="G9" s="26">
        <f t="shared" si="0"/>
        <v>0</v>
      </c>
      <c r="H9" s="27">
        <v>0</v>
      </c>
      <c r="I9" s="27">
        <v>0</v>
      </c>
      <c r="K9" s="16"/>
      <c r="L9" s="28"/>
      <c r="M9" s="29" t="e">
        <f>IF(#REF!/5&gt;$H$6,H11,(#REF!/5))</f>
        <v>#REF!</v>
      </c>
      <c r="N9" s="30" t="e">
        <f>#REF!/5</f>
        <v>#REF!</v>
      </c>
      <c r="O9" s="30" t="e">
        <f>#REF!/5+H10</f>
        <v>#REF!</v>
      </c>
      <c r="Q9" s="35"/>
      <c r="R9" s="36"/>
      <c r="S9" s="36"/>
      <c r="T9" s="14">
        <v>0</v>
      </c>
      <c r="U9" s="15" t="s">
        <v>14</v>
      </c>
      <c r="W9" s="16"/>
    </row>
    <row r="10" spans="1:25">
      <c r="A10" s="23">
        <v>40612</v>
      </c>
      <c r="B10" s="24">
        <v>5229.1499999999996</v>
      </c>
      <c r="C10" s="155">
        <f t="shared" si="1"/>
        <v>392.18624999999997</v>
      </c>
      <c r="D10" s="25">
        <v>0</v>
      </c>
      <c r="E10" s="172">
        <f t="shared" si="2"/>
        <v>130.72874999999999</v>
      </c>
      <c r="F10" s="25">
        <v>0</v>
      </c>
      <c r="G10" s="26">
        <f t="shared" si="0"/>
        <v>0</v>
      </c>
      <c r="H10" s="27">
        <v>0</v>
      </c>
      <c r="I10" s="27">
        <v>0</v>
      </c>
      <c r="K10" s="80" t="s">
        <v>109</v>
      </c>
      <c r="L10" s="81"/>
      <c r="M10" s="82"/>
      <c r="N10" s="83"/>
      <c r="O10" s="83"/>
      <c r="P10" s="84"/>
      <c r="Q10" s="85"/>
      <c r="R10" s="86"/>
      <c r="S10" s="84"/>
      <c r="T10" s="14">
        <v>6500</v>
      </c>
      <c r="U10" s="15" t="s">
        <v>20</v>
      </c>
      <c r="W10" s="16"/>
    </row>
    <row r="11" spans="1:25" ht="13.5" thickBot="1">
      <c r="A11" s="23">
        <v>40627</v>
      </c>
      <c r="B11" s="24">
        <v>5229.1499999999996</v>
      </c>
      <c r="C11" s="155">
        <f t="shared" si="1"/>
        <v>392.18624999999997</v>
      </c>
      <c r="D11" s="25">
        <v>0</v>
      </c>
      <c r="E11" s="172">
        <f t="shared" si="2"/>
        <v>130.72874999999999</v>
      </c>
      <c r="F11" s="25">
        <v>0</v>
      </c>
      <c r="G11" s="26">
        <f t="shared" si="0"/>
        <v>0</v>
      </c>
      <c r="H11" s="27">
        <v>0</v>
      </c>
      <c r="I11" s="27">
        <v>0</v>
      </c>
      <c r="K11" s="80" t="s">
        <v>97</v>
      </c>
      <c r="L11" s="81"/>
      <c r="M11" s="87"/>
      <c r="N11" s="88"/>
      <c r="O11" s="88"/>
      <c r="P11" s="84"/>
      <c r="Q11" s="85"/>
      <c r="R11" s="86"/>
      <c r="S11" s="84"/>
      <c r="T11" s="19">
        <f>SUM(T8:T10)</f>
        <v>41081.519999999997</v>
      </c>
      <c r="U11" s="37"/>
      <c r="W11" s="41"/>
    </row>
    <row r="12" spans="1:25" ht="13.5" thickBot="1">
      <c r="A12" s="23">
        <v>40643</v>
      </c>
      <c r="B12" s="24">
        <v>5229.1499999999996</v>
      </c>
      <c r="C12" s="155">
        <f t="shared" si="1"/>
        <v>392.18624999999997</v>
      </c>
      <c r="D12" s="25">
        <v>0</v>
      </c>
      <c r="E12" s="172">
        <f t="shared" si="2"/>
        <v>130.72874999999999</v>
      </c>
      <c r="F12" s="25">
        <v>0</v>
      </c>
      <c r="G12" s="26">
        <f t="shared" si="0"/>
        <v>0</v>
      </c>
      <c r="H12" s="27">
        <v>0</v>
      </c>
      <c r="I12" s="27">
        <v>0</v>
      </c>
      <c r="K12" s="80" t="s">
        <v>112</v>
      </c>
      <c r="L12" s="84"/>
      <c r="M12" s="87"/>
      <c r="N12" s="88"/>
      <c r="O12" s="90"/>
      <c r="P12" s="84"/>
      <c r="Q12" s="85"/>
      <c r="R12" s="86"/>
      <c r="S12" s="84"/>
      <c r="T12" s="38"/>
      <c r="U12" s="39"/>
      <c r="W12" s="31"/>
      <c r="X12" s="31"/>
      <c r="Y12" s="89"/>
    </row>
    <row r="13" spans="1:25" ht="13.5" thickBot="1">
      <c r="A13" s="23">
        <v>40658</v>
      </c>
      <c r="B13" s="24">
        <v>5229.1499999999996</v>
      </c>
      <c r="C13" s="155">
        <f t="shared" si="1"/>
        <v>392.18624999999997</v>
      </c>
      <c r="D13" s="25">
        <v>0</v>
      </c>
      <c r="E13" s="172">
        <f t="shared" si="2"/>
        <v>130.72874999999999</v>
      </c>
      <c r="F13" s="25">
        <v>0</v>
      </c>
      <c r="G13" s="26">
        <f t="shared" si="0"/>
        <v>0</v>
      </c>
      <c r="H13" s="27">
        <v>0</v>
      </c>
      <c r="I13" s="27">
        <v>0</v>
      </c>
      <c r="K13" s="80" t="s">
        <v>105</v>
      </c>
      <c r="L13" s="81"/>
      <c r="M13" s="91" t="e">
        <v>#REF!</v>
      </c>
      <c r="N13" s="92" t="e">
        <v>#REF!</v>
      </c>
      <c r="O13" s="92" t="e">
        <v>#REF!</v>
      </c>
      <c r="P13" s="84"/>
      <c r="Q13" s="85"/>
      <c r="R13" s="86"/>
      <c r="S13" s="84"/>
      <c r="T13" s="40" t="s">
        <v>30</v>
      </c>
      <c r="U13" s="10"/>
      <c r="W13" s="89"/>
      <c r="X13" s="89"/>
    </row>
    <row r="14" spans="1:25">
      <c r="A14" s="23">
        <v>40673</v>
      </c>
      <c r="B14" s="24">
        <v>5229.1499999999996</v>
      </c>
      <c r="C14" s="155">
        <f t="shared" si="1"/>
        <v>392.18624999999997</v>
      </c>
      <c r="D14" s="25">
        <v>0</v>
      </c>
      <c r="E14" s="172">
        <f t="shared" si="2"/>
        <v>130.72874999999999</v>
      </c>
      <c r="F14" s="25">
        <v>0</v>
      </c>
      <c r="G14" s="26">
        <f t="shared" si="0"/>
        <v>0</v>
      </c>
      <c r="H14" s="27">
        <v>0</v>
      </c>
      <c r="I14" s="27">
        <v>0</v>
      </c>
      <c r="M14" s="211" t="e">
        <f>IF(#REF!&gt;=0,"Total&lt;45K eligible for SRA","&gt;45K Not eligible for SRA")</f>
        <v>#REF!</v>
      </c>
      <c r="N14" s="212"/>
      <c r="O14" s="213"/>
      <c r="Q14" s="31"/>
      <c r="R14" s="41"/>
      <c r="T14" s="14">
        <f>IF(T11&lt;T6,T11,T6)</f>
        <v>23072.68</v>
      </c>
      <c r="U14" s="42" t="s">
        <v>31</v>
      </c>
      <c r="W14" s="31"/>
      <c r="X14" s="31"/>
    </row>
    <row r="15" spans="1:25">
      <c r="A15" s="23">
        <v>40688</v>
      </c>
      <c r="B15" s="24">
        <v>5229.1499999999996</v>
      </c>
      <c r="C15" s="155">
        <f t="shared" si="1"/>
        <v>392.18624999999997</v>
      </c>
      <c r="D15" s="25">
        <v>0</v>
      </c>
      <c r="E15" s="172">
        <f t="shared" si="2"/>
        <v>130.72874999999999</v>
      </c>
      <c r="F15" s="25">
        <v>0</v>
      </c>
      <c r="G15" s="26">
        <f t="shared" si="0"/>
        <v>0</v>
      </c>
      <c r="H15" s="27">
        <v>0</v>
      </c>
      <c r="I15" s="27">
        <v>0</v>
      </c>
      <c r="M15" s="214" t="e">
        <f>IF(#REF!&gt;=0,IF(#REF!&gt;=0,"SRA OK","SRA need to be adjusted"), "&gt;45K Not eligible for SRA")</f>
        <v>#REF!</v>
      </c>
      <c r="N15" s="215"/>
      <c r="O15" s="216"/>
      <c r="Q15" s="44"/>
      <c r="R15" s="41"/>
      <c r="T15" s="14">
        <f t="shared" ref="T15:T38" si="3">T14-H6</f>
        <v>23072.68</v>
      </c>
      <c r="U15" s="23">
        <v>40553</v>
      </c>
      <c r="W15" s="31"/>
    </row>
    <row r="16" spans="1:25">
      <c r="A16" s="23">
        <v>40704</v>
      </c>
      <c r="B16" s="24">
        <v>5229.1499999999996</v>
      </c>
      <c r="C16" s="155">
        <f t="shared" si="1"/>
        <v>392.18624999999997</v>
      </c>
      <c r="D16" s="25">
        <v>0</v>
      </c>
      <c r="E16" s="172">
        <f t="shared" si="2"/>
        <v>130.72874999999999</v>
      </c>
      <c r="F16" s="25">
        <v>0</v>
      </c>
      <c r="G16" s="26">
        <f t="shared" si="0"/>
        <v>0</v>
      </c>
      <c r="H16" s="27">
        <v>0</v>
      </c>
      <c r="I16" s="27">
        <v>0</v>
      </c>
      <c r="J16" s="3"/>
      <c r="M16" s="45"/>
      <c r="N16" s="45"/>
      <c r="O16" s="45"/>
      <c r="P16" s="45"/>
      <c r="Q16" s="45"/>
      <c r="R16" s="46"/>
      <c r="S16" s="46"/>
      <c r="T16" s="14">
        <f t="shared" si="3"/>
        <v>23072.68</v>
      </c>
      <c r="U16" s="23">
        <v>40568</v>
      </c>
      <c r="W16" s="31"/>
    </row>
    <row r="17" spans="1:27">
      <c r="A17" s="23">
        <v>40719</v>
      </c>
      <c r="B17" s="24">
        <v>5229.1499999999996</v>
      </c>
      <c r="C17" s="155">
        <f t="shared" si="1"/>
        <v>392.18624999999997</v>
      </c>
      <c r="D17" s="25">
        <v>0</v>
      </c>
      <c r="E17" s="172">
        <f t="shared" si="2"/>
        <v>130.72874999999999</v>
      </c>
      <c r="F17" s="25">
        <v>0</v>
      </c>
      <c r="G17" s="26">
        <f t="shared" si="0"/>
        <v>0</v>
      </c>
      <c r="H17" s="27">
        <v>0</v>
      </c>
      <c r="I17" s="27">
        <v>0</v>
      </c>
      <c r="M17" s="47"/>
      <c r="N17" s="45"/>
      <c r="O17" s="45"/>
      <c r="P17" s="45"/>
      <c r="Q17" s="48"/>
      <c r="R17" s="45"/>
      <c r="S17" s="46"/>
      <c r="T17" s="14">
        <f t="shared" si="3"/>
        <v>23072.68</v>
      </c>
      <c r="U17" s="23">
        <v>40584</v>
      </c>
      <c r="W17" s="31"/>
    </row>
    <row r="18" spans="1:27">
      <c r="A18" s="23">
        <v>40369</v>
      </c>
      <c r="B18" s="24">
        <v>5229.1499999999996</v>
      </c>
      <c r="C18" s="155">
        <f t="shared" si="1"/>
        <v>392.18624999999997</v>
      </c>
      <c r="D18" s="25">
        <v>0</v>
      </c>
      <c r="E18" s="172">
        <f t="shared" si="2"/>
        <v>130.72874999999999</v>
      </c>
      <c r="F18" s="25">
        <v>0</v>
      </c>
      <c r="G18" s="26">
        <f t="shared" si="0"/>
        <v>0</v>
      </c>
      <c r="H18" s="27">
        <v>0</v>
      </c>
      <c r="I18" s="27">
        <v>0</v>
      </c>
      <c r="M18" s="45"/>
      <c r="N18" s="45"/>
      <c r="O18" s="45"/>
      <c r="P18" s="45"/>
      <c r="T18" s="14">
        <f t="shared" si="3"/>
        <v>23072.68</v>
      </c>
      <c r="U18" s="23">
        <v>40599</v>
      </c>
      <c r="W18" s="31"/>
      <c r="Z18" s="31"/>
      <c r="AA18" s="31"/>
    </row>
    <row r="19" spans="1:27">
      <c r="A19" s="23">
        <v>40384</v>
      </c>
      <c r="B19" s="24">
        <v>5229.1499999999996</v>
      </c>
      <c r="C19" s="155">
        <f t="shared" si="1"/>
        <v>392.18624999999997</v>
      </c>
      <c r="D19" s="25">
        <v>0</v>
      </c>
      <c r="E19" s="172">
        <f t="shared" si="2"/>
        <v>130.72874999999999</v>
      </c>
      <c r="F19" s="25">
        <v>0</v>
      </c>
      <c r="G19" s="26">
        <f t="shared" si="0"/>
        <v>0</v>
      </c>
      <c r="H19" s="27">
        <v>0</v>
      </c>
      <c r="I19" s="27">
        <v>0</v>
      </c>
      <c r="M19" s="49"/>
      <c r="T19" s="14">
        <f t="shared" si="3"/>
        <v>23072.68</v>
      </c>
      <c r="U19" s="23">
        <v>40612</v>
      </c>
    </row>
    <row r="20" spans="1:27">
      <c r="A20" s="23">
        <v>40400</v>
      </c>
      <c r="B20" s="24">
        <v>5229.18</v>
      </c>
      <c r="C20" s="155">
        <f t="shared" si="1"/>
        <v>392.18850000000003</v>
      </c>
      <c r="D20" s="25">
        <v>0</v>
      </c>
      <c r="E20" s="172">
        <f t="shared" si="2"/>
        <v>130.7295</v>
      </c>
      <c r="F20" s="25">
        <v>0</v>
      </c>
      <c r="G20" s="26">
        <f t="shared" si="0"/>
        <v>0</v>
      </c>
      <c r="H20" s="27">
        <v>0</v>
      </c>
      <c r="I20" s="27">
        <v>0</v>
      </c>
      <c r="J20" s="50"/>
      <c r="K20" s="45"/>
      <c r="L20" s="45"/>
      <c r="T20" s="14">
        <f t="shared" si="3"/>
        <v>23072.68</v>
      </c>
      <c r="U20" s="23">
        <v>40627</v>
      </c>
    </row>
    <row r="21" spans="1:27">
      <c r="A21" s="23">
        <v>40415</v>
      </c>
      <c r="B21" s="24">
        <v>5229.1499999999996</v>
      </c>
      <c r="C21" s="155">
        <f t="shared" si="1"/>
        <v>392.18624999999997</v>
      </c>
      <c r="D21" s="25">
        <v>0</v>
      </c>
      <c r="E21" s="172">
        <f t="shared" si="2"/>
        <v>130.72874999999999</v>
      </c>
      <c r="F21" s="25">
        <v>0</v>
      </c>
      <c r="G21" s="26">
        <f t="shared" si="0"/>
        <v>0</v>
      </c>
      <c r="H21" s="27">
        <v>0</v>
      </c>
      <c r="I21" s="27">
        <v>0</v>
      </c>
      <c r="J21" s="50"/>
      <c r="K21" s="51"/>
      <c r="L21" s="45"/>
      <c r="M21" s="52"/>
      <c r="T21" s="14">
        <f t="shared" si="3"/>
        <v>23072.68</v>
      </c>
      <c r="U21" s="23">
        <v>40643</v>
      </c>
      <c r="Z21" s="31"/>
    </row>
    <row r="22" spans="1:27">
      <c r="A22" s="23">
        <v>40066</v>
      </c>
      <c r="B22" s="24">
        <v>7803.19</v>
      </c>
      <c r="C22" s="155">
        <f t="shared" si="1"/>
        <v>585.23924999999997</v>
      </c>
      <c r="D22" s="25">
        <v>1003.4</v>
      </c>
      <c r="E22" s="172">
        <f t="shared" si="2"/>
        <v>195.07974999999999</v>
      </c>
      <c r="F22" s="25">
        <v>334.47</v>
      </c>
      <c r="G22" s="26">
        <f>195.08+585.24</f>
        <v>780.32</v>
      </c>
      <c r="H22" s="27">
        <v>0</v>
      </c>
      <c r="I22" s="27">
        <v>0</v>
      </c>
      <c r="J22" s="53"/>
      <c r="K22" s="53"/>
      <c r="L22" s="53"/>
      <c r="M22" s="52"/>
      <c r="T22" s="14">
        <f t="shared" si="3"/>
        <v>23072.68</v>
      </c>
      <c r="U22" s="23">
        <v>40658</v>
      </c>
      <c r="Z22" s="31"/>
    </row>
    <row r="23" spans="1:27">
      <c r="A23" s="23">
        <v>40081</v>
      </c>
      <c r="B23" s="24">
        <v>4407.41</v>
      </c>
      <c r="C23" s="155">
        <f t="shared" si="1"/>
        <v>330.55574999999999</v>
      </c>
      <c r="D23" s="25">
        <v>1003.4</v>
      </c>
      <c r="E23" s="172">
        <f t="shared" si="2"/>
        <v>110.18525</v>
      </c>
      <c r="F23" s="25">
        <v>334.47</v>
      </c>
      <c r="G23" s="26">
        <f>110.19+330.56</f>
        <v>440.75</v>
      </c>
      <c r="H23" s="27">
        <v>0</v>
      </c>
      <c r="I23" s="27">
        <v>0</v>
      </c>
      <c r="J23" s="53"/>
      <c r="K23" s="53"/>
      <c r="L23" s="53"/>
      <c r="T23" s="14">
        <f t="shared" si="3"/>
        <v>23072.68</v>
      </c>
      <c r="U23" s="23">
        <v>40673</v>
      </c>
      <c r="W23" s="31"/>
      <c r="Z23" s="31"/>
    </row>
    <row r="24" spans="1:27">
      <c r="A24" s="23">
        <v>40096</v>
      </c>
      <c r="B24" s="24">
        <v>4407.41</v>
      </c>
      <c r="C24" s="155">
        <f t="shared" si="1"/>
        <v>330.55574999999999</v>
      </c>
      <c r="D24" s="25">
        <v>1003.4</v>
      </c>
      <c r="E24" s="172">
        <f t="shared" si="2"/>
        <v>110.18525</v>
      </c>
      <c r="F24" s="25">
        <v>334.47</v>
      </c>
      <c r="G24" s="26">
        <f>110.19+330.56</f>
        <v>440.75</v>
      </c>
      <c r="H24" s="27">
        <v>0</v>
      </c>
      <c r="I24" s="27">
        <v>0</v>
      </c>
      <c r="J24" s="53"/>
      <c r="K24" s="53"/>
      <c r="L24" s="53"/>
      <c r="M24" s="209"/>
      <c r="N24" s="209"/>
      <c r="O24" s="209"/>
      <c r="T24" s="14">
        <f t="shared" si="3"/>
        <v>23072.68</v>
      </c>
      <c r="U24" s="23">
        <v>40688</v>
      </c>
      <c r="W24" s="31"/>
      <c r="Z24" s="31"/>
    </row>
    <row r="25" spans="1:27">
      <c r="A25" s="23">
        <v>40111</v>
      </c>
      <c r="B25" s="24">
        <v>4407.41</v>
      </c>
      <c r="C25" s="155">
        <f t="shared" si="1"/>
        <v>330.55574999999999</v>
      </c>
      <c r="D25" s="25">
        <v>1003.4</v>
      </c>
      <c r="E25" s="172">
        <f t="shared" si="2"/>
        <v>110.18525</v>
      </c>
      <c r="F25" s="25">
        <v>334.47</v>
      </c>
      <c r="G25" s="26">
        <f>110.19+330.56</f>
        <v>440.75</v>
      </c>
      <c r="H25" s="27">
        <v>0</v>
      </c>
      <c r="I25" s="27">
        <v>0</v>
      </c>
      <c r="J25" s="54"/>
      <c r="K25" s="55"/>
      <c r="L25" s="54"/>
      <c r="M25" s="209"/>
      <c r="N25" s="209"/>
      <c r="O25" s="209"/>
      <c r="T25" s="14">
        <f t="shared" si="3"/>
        <v>23072.68</v>
      </c>
      <c r="U25" s="23">
        <v>40704</v>
      </c>
      <c r="W25" s="31"/>
    </row>
    <row r="26" spans="1:27">
      <c r="A26" s="23">
        <v>40127</v>
      </c>
      <c r="B26" s="24">
        <v>4407.41</v>
      </c>
      <c r="C26" s="155">
        <f t="shared" si="1"/>
        <v>330.55574999999999</v>
      </c>
      <c r="D26" s="95">
        <v>1192.08</v>
      </c>
      <c r="E26" s="172">
        <f t="shared" si="2"/>
        <v>110.18525</v>
      </c>
      <c r="F26" s="95">
        <v>397.36</v>
      </c>
      <c r="G26" s="96">
        <f>9606.67/4</f>
        <v>2401.6675</v>
      </c>
      <c r="H26" s="27">
        <v>0</v>
      </c>
      <c r="I26" s="27">
        <v>0</v>
      </c>
      <c r="J26" s="50"/>
      <c r="K26" s="45"/>
      <c r="L26" s="45"/>
      <c r="T26" s="14">
        <f t="shared" si="3"/>
        <v>23072.68</v>
      </c>
      <c r="U26" s="23">
        <v>40719</v>
      </c>
      <c r="W26" s="31"/>
    </row>
    <row r="27" spans="1:27" ht="15" customHeight="1">
      <c r="A27" s="23">
        <v>40142</v>
      </c>
      <c r="B27" s="24">
        <v>4407.41</v>
      </c>
      <c r="C27" s="155">
        <f t="shared" si="1"/>
        <v>330.55574999999999</v>
      </c>
      <c r="D27" s="95">
        <v>1192.08</v>
      </c>
      <c r="E27" s="172">
        <f t="shared" si="2"/>
        <v>110.18525</v>
      </c>
      <c r="F27" s="95">
        <v>397.36</v>
      </c>
      <c r="G27" s="96">
        <f>9606.67/4</f>
        <v>2401.6675</v>
      </c>
      <c r="H27" s="27">
        <v>0</v>
      </c>
      <c r="I27" s="27">
        <v>0</v>
      </c>
      <c r="J27" s="56"/>
      <c r="K27" s="56"/>
      <c r="L27" s="56"/>
      <c r="T27" s="14">
        <f t="shared" si="3"/>
        <v>23072.68</v>
      </c>
      <c r="U27" s="23">
        <v>40369</v>
      </c>
      <c r="W27" s="31"/>
    </row>
    <row r="28" spans="1:27">
      <c r="A28" s="23">
        <v>40157</v>
      </c>
      <c r="B28" s="24">
        <v>4407.41</v>
      </c>
      <c r="C28" s="155">
        <f t="shared" si="1"/>
        <v>330.55574999999999</v>
      </c>
      <c r="D28" s="95">
        <v>1192.08</v>
      </c>
      <c r="E28" s="172">
        <f t="shared" si="2"/>
        <v>110.18525</v>
      </c>
      <c r="F28" s="95">
        <v>397.36</v>
      </c>
      <c r="G28" s="96">
        <f>9606.67/4</f>
        <v>2401.6675</v>
      </c>
      <c r="H28" s="27">
        <v>0</v>
      </c>
      <c r="I28" s="27">
        <v>0</v>
      </c>
      <c r="J28" s="56"/>
      <c r="K28" s="56"/>
      <c r="L28" s="56"/>
      <c r="M28" s="45"/>
      <c r="N28" s="45"/>
      <c r="O28" s="45"/>
      <c r="P28" s="45"/>
      <c r="Q28" s="48"/>
      <c r="R28" s="45"/>
      <c r="S28" s="46"/>
      <c r="T28" s="14">
        <f t="shared" si="3"/>
        <v>23072.68</v>
      </c>
      <c r="U28" s="23">
        <v>40384</v>
      </c>
      <c r="W28" s="89"/>
    </row>
    <row r="29" spans="1:27" ht="13.5" thickBot="1">
      <c r="A29" s="23">
        <v>39441</v>
      </c>
      <c r="B29" s="24">
        <v>4407.41</v>
      </c>
      <c r="C29" s="155">
        <f t="shared" si="1"/>
        <v>330.55574999999999</v>
      </c>
      <c r="D29" s="95">
        <v>1192.08</v>
      </c>
      <c r="E29" s="173">
        <f t="shared" si="2"/>
        <v>110.18525</v>
      </c>
      <c r="F29" s="133">
        <v>397.36</v>
      </c>
      <c r="G29" s="109">
        <f>9606.67/4</f>
        <v>2401.6675</v>
      </c>
      <c r="H29" s="27">
        <v>0</v>
      </c>
      <c r="I29" s="27">
        <v>0</v>
      </c>
      <c r="J29" s="56"/>
      <c r="K29" s="56"/>
      <c r="L29" s="56"/>
      <c r="M29" s="57"/>
      <c r="N29" s="57"/>
      <c r="O29" s="57"/>
      <c r="P29" s="57"/>
      <c r="T29" s="14">
        <f t="shared" si="3"/>
        <v>23072.68</v>
      </c>
      <c r="U29" s="23">
        <v>40400</v>
      </c>
      <c r="W29" s="89" t="s">
        <v>32</v>
      </c>
    </row>
    <row r="30" spans="1:27">
      <c r="A30" s="58" t="s">
        <v>33</v>
      </c>
      <c r="B30" s="59">
        <f>SUM(B6:B29)</f>
        <v>117092.43000000002</v>
      </c>
      <c r="C30" s="59">
        <f>SUM(C6:C29)</f>
        <v>8781.9322499999944</v>
      </c>
      <c r="D30" s="59">
        <f>SUM(D6:D29)</f>
        <v>8781.92</v>
      </c>
      <c r="E30" s="94">
        <f>SUM(E6:E29)</f>
        <v>2927.3107499999996</v>
      </c>
      <c r="F30" s="94">
        <f>SUM(F6:F29)</f>
        <v>2927.3200000000006</v>
      </c>
      <c r="G30" s="94">
        <f>D30+F30</f>
        <v>11709.240000000002</v>
      </c>
      <c r="H30" s="59">
        <f>SUM(H6:H29)</f>
        <v>0</v>
      </c>
      <c r="I30" s="59">
        <f>SUM(I6:I29)</f>
        <v>0</v>
      </c>
      <c r="J30" s="44"/>
      <c r="K30" s="132"/>
      <c r="L30" s="44"/>
      <c r="M30" s="57"/>
      <c r="N30" s="57"/>
      <c r="O30" s="57"/>
      <c r="P30" s="57"/>
      <c r="T30" s="14">
        <f t="shared" si="3"/>
        <v>23072.68</v>
      </c>
      <c r="U30" s="23">
        <v>40415</v>
      </c>
      <c r="W30" s="89" t="s">
        <v>32</v>
      </c>
    </row>
    <row r="31" spans="1:27" ht="13.5" thickBot="1">
      <c r="A31" s="63"/>
      <c r="B31" s="64"/>
      <c r="C31" s="64"/>
      <c r="D31" s="64"/>
      <c r="E31" s="64"/>
      <c r="F31" s="64"/>
      <c r="G31" s="64">
        <f>SUM(G6:G29)</f>
        <v>11709.24</v>
      </c>
      <c r="H31" s="65"/>
      <c r="I31" s="65"/>
      <c r="J31" s="44"/>
      <c r="K31" s="132"/>
      <c r="L31" s="44"/>
      <c r="M31" s="57"/>
      <c r="N31" s="57"/>
      <c r="O31" s="57"/>
      <c r="P31" s="57"/>
      <c r="T31" s="14">
        <f t="shared" si="3"/>
        <v>23072.68</v>
      </c>
      <c r="U31" s="23">
        <v>40066</v>
      </c>
      <c r="W31" s="89" t="s">
        <v>32</v>
      </c>
    </row>
    <row r="32" spans="1:27">
      <c r="H32" s="45"/>
      <c r="I32" s="45"/>
      <c r="J32" s="57"/>
      <c r="K32" s="57"/>
      <c r="L32" s="57"/>
      <c r="M32" s="57"/>
      <c r="N32" s="57"/>
      <c r="O32" s="57"/>
      <c r="P32" s="57"/>
      <c r="T32" s="14">
        <f t="shared" si="3"/>
        <v>23072.68</v>
      </c>
      <c r="U32" s="23">
        <v>40081</v>
      </c>
      <c r="W32" s="89" t="s">
        <v>32</v>
      </c>
    </row>
    <row r="33" spans="2:21" ht="15">
      <c r="B33" s="31">
        <f>B30*0.075</f>
        <v>8781.9322500000017</v>
      </c>
      <c r="C33" s="31"/>
      <c r="E33" s="31">
        <f>B30*0.025</f>
        <v>2927.3107500000006</v>
      </c>
      <c r="F33" s="136"/>
      <c r="I33" s="36"/>
      <c r="J33" s="57"/>
      <c r="K33" s="57"/>
      <c r="L33" s="57"/>
      <c r="M33" s="57"/>
      <c r="N33" s="57"/>
      <c r="O33" s="57"/>
      <c r="P33" s="57"/>
      <c r="T33" s="14">
        <f t="shared" si="3"/>
        <v>23072.68</v>
      </c>
      <c r="U33" s="23">
        <v>40096</v>
      </c>
    </row>
    <row r="34" spans="2:21">
      <c r="B34" s="156">
        <f>B33-D30</f>
        <v>1.2250000001586159E-2</v>
      </c>
      <c r="C34" s="157" t="s">
        <v>119</v>
      </c>
      <c r="E34" s="156">
        <f>E33-F30</f>
        <v>-9.2500000000654836E-3</v>
      </c>
      <c r="F34" s="156" t="s">
        <v>120</v>
      </c>
      <c r="G34" s="156">
        <f>G30-G31</f>
        <v>0</v>
      </c>
      <c r="H34" s="158" t="s">
        <v>125</v>
      </c>
      <c r="I34" s="69"/>
      <c r="J34" s="57"/>
      <c r="K34" s="57"/>
      <c r="L34" s="57"/>
      <c r="M34" s="57"/>
      <c r="N34" s="57"/>
      <c r="O34" s="57"/>
      <c r="P34" s="57"/>
      <c r="T34" s="14">
        <f t="shared" si="3"/>
        <v>23072.68</v>
      </c>
      <c r="U34" s="23">
        <v>40111</v>
      </c>
    </row>
    <row r="35" spans="2:21">
      <c r="D35" s="31"/>
      <c r="E35" s="31"/>
      <c r="F35" s="31"/>
      <c r="H35" s="36"/>
      <c r="J35" s="57"/>
      <c r="K35" s="57"/>
      <c r="L35" s="57"/>
      <c r="M35" s="57"/>
      <c r="N35" s="57"/>
      <c r="O35" s="57"/>
      <c r="P35" s="57"/>
      <c r="T35" s="14">
        <f t="shared" si="3"/>
        <v>23072.68</v>
      </c>
      <c r="U35" s="23">
        <v>40127</v>
      </c>
    </row>
    <row r="36" spans="2:21">
      <c r="D36" s="31"/>
      <c r="E36" s="31"/>
      <c r="F36" s="31"/>
      <c r="H36" s="36"/>
      <c r="J36" s="70"/>
      <c r="K36" s="57"/>
      <c r="L36" s="57"/>
      <c r="M36" s="57"/>
      <c r="N36" s="57"/>
      <c r="O36" s="57"/>
      <c r="P36" s="57"/>
      <c r="T36" s="14">
        <f t="shared" si="3"/>
        <v>23072.68</v>
      </c>
      <c r="U36" s="23">
        <v>40142</v>
      </c>
    </row>
    <row r="37" spans="2:21">
      <c r="D37" s="31"/>
      <c r="E37" s="31"/>
      <c r="F37" s="31"/>
      <c r="J37" s="57"/>
      <c r="K37" s="57"/>
      <c r="L37" s="57"/>
      <c r="M37" s="57"/>
      <c r="N37" s="57"/>
      <c r="O37" s="57"/>
      <c r="P37" s="57"/>
      <c r="T37" s="14">
        <f t="shared" si="3"/>
        <v>23072.68</v>
      </c>
      <c r="U37" s="23">
        <v>40157</v>
      </c>
    </row>
    <row r="38" spans="2:21" ht="13.5" thickBot="1">
      <c r="D38" s="31"/>
      <c r="E38" s="31"/>
      <c r="F38" s="31"/>
      <c r="J38" s="57"/>
      <c r="K38" s="57"/>
      <c r="L38" s="57"/>
      <c r="M38" s="57"/>
      <c r="N38" s="57"/>
      <c r="O38" s="57"/>
      <c r="P38" s="57"/>
      <c r="Q38" s="5" t="s">
        <v>42</v>
      </c>
      <c r="T38" s="19">
        <f t="shared" si="3"/>
        <v>23072.68</v>
      </c>
      <c r="U38" s="71">
        <v>39441</v>
      </c>
    </row>
    <row r="39" spans="2:21">
      <c r="J39" s="57"/>
      <c r="K39" s="57"/>
      <c r="L39" s="57"/>
      <c r="M39" s="57"/>
      <c r="N39" s="57"/>
      <c r="O39" s="57"/>
      <c r="P39" s="57"/>
    </row>
    <row r="40" spans="2:21">
      <c r="B40" s="72"/>
      <c r="C40" s="7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2:21">
      <c r="B41" s="70">
        <f>754.73/4</f>
        <v>188.6825</v>
      </c>
      <c r="C41" s="72"/>
      <c r="D41" s="57"/>
      <c r="E41" s="70">
        <f>251.55/4</f>
        <v>62.887500000000003</v>
      </c>
      <c r="F41" s="57"/>
      <c r="G41" s="57">
        <f>2401.67*0.75</f>
        <v>1801.2525000000001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2:21">
      <c r="B42" s="70">
        <f>1003.4+188.68</f>
        <v>1192.08</v>
      </c>
      <c r="C42" s="72"/>
      <c r="D42" s="57"/>
      <c r="E42" s="70">
        <f>334.47+62.89</f>
        <v>397.36</v>
      </c>
      <c r="F42" s="57"/>
      <c r="G42" s="57">
        <f>2401.67*0.25</f>
        <v>600.41750000000002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2:21">
      <c r="B43" s="72"/>
      <c r="C43" s="72"/>
      <c r="D43" s="57"/>
      <c r="E43" s="57"/>
      <c r="F43" s="57"/>
      <c r="G43" s="57">
        <f>SUM(G41:G42)</f>
        <v>2401.67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2:21">
      <c r="B44" s="72"/>
      <c r="C44" s="72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2:21">
      <c r="B45" s="72"/>
      <c r="C45" s="72"/>
      <c r="D45" s="57"/>
      <c r="E45" s="57"/>
      <c r="F45" s="57"/>
      <c r="G45" s="57"/>
      <c r="H45" s="57"/>
      <c r="I45" s="57"/>
      <c r="J45" s="57"/>
      <c r="K45" s="57"/>
      <c r="L45" s="57"/>
    </row>
    <row r="46" spans="2:21">
      <c r="B46" s="57"/>
      <c r="C46" s="57"/>
      <c r="D46" s="70"/>
      <c r="E46" s="70"/>
      <c r="F46" s="70"/>
      <c r="G46" s="70"/>
      <c r="H46" s="57"/>
      <c r="I46" s="57"/>
    </row>
    <row r="48" spans="2:21">
      <c r="D48" s="31"/>
      <c r="E48" s="31"/>
      <c r="F48" s="31"/>
    </row>
  </sheetData>
  <mergeCells count="7">
    <mergeCell ref="M25:O25"/>
    <mergeCell ref="B1:D1"/>
    <mergeCell ref="N1:O1"/>
    <mergeCell ref="B2:D2"/>
    <mergeCell ref="M14:O14"/>
    <mergeCell ref="M15:O15"/>
    <mergeCell ref="M24:O24"/>
  </mergeCells>
  <pageMargins left="0.45" right="0.4" top="1" bottom="0.72" header="0.5" footer="0.5"/>
  <pageSetup paperSize="1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0"/>
  <dimension ref="A1:WVS48"/>
  <sheetViews>
    <sheetView topLeftCell="A11" zoomScale="85" zoomScaleNormal="85" workbookViewId="0">
      <selection activeCell="E48" sqref="E4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124</v>
      </c>
      <c r="C1" s="207"/>
      <c r="D1" s="207"/>
      <c r="E1" s="127"/>
      <c r="F1" s="127"/>
      <c r="G1" s="1" t="s">
        <v>1</v>
      </c>
      <c r="H1" s="2">
        <v>9</v>
      </c>
      <c r="I1" s="3" t="s">
        <v>2</v>
      </c>
      <c r="J1" s="4">
        <v>44197</v>
      </c>
    </row>
    <row r="2" spans="1:20">
      <c r="A2" s="1" t="s">
        <v>4</v>
      </c>
      <c r="B2" s="208">
        <v>249356565</v>
      </c>
      <c r="C2" s="208"/>
      <c r="D2" s="208"/>
      <c r="E2" s="128"/>
      <c r="F2" s="128"/>
      <c r="H2" s="6"/>
      <c r="I2" s="3" t="s">
        <v>5</v>
      </c>
      <c r="J2" s="4">
        <v>22486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v>79333.320000000007</v>
      </c>
      <c r="K3" s="49"/>
      <c r="L3" s="14">
        <f>-SUM(C30+D30+E30+F30)</f>
        <v>-15535.854000000001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J3/9</f>
        <v>8814.8133333333335</v>
      </c>
      <c r="K4" s="49"/>
      <c r="L4" s="19">
        <f>SUM(L2:L3)</f>
        <v>42464.146000000001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4407.4066666666668</v>
      </c>
      <c r="K5" s="49"/>
      <c r="O5" s="14">
        <f>-D30</f>
        <v>-2971.7855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23028.214500000002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42464.146000000001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48964.146000000001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23028.214500000002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23028.214500000002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23028.214500000002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23028.214500000002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23028.214500000002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23028.214500000002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23028.214500000002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23028.214500000002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23028.214500000002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23028.214500000002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23028.214500000002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23028.214500000002</v>
      </c>
      <c r="P25" s="23">
        <v>40704</v>
      </c>
      <c r="R25" s="31"/>
    </row>
    <row r="26" spans="1:22">
      <c r="A26" s="23">
        <v>40127</v>
      </c>
      <c r="B26" s="98">
        <v>105703.7</v>
      </c>
      <c r="C26" s="25">
        <v>6318.24</v>
      </c>
      <c r="D26" s="25">
        <v>2641.23</v>
      </c>
      <c r="E26" s="26">
        <v>2547.6</v>
      </c>
      <c r="F26" s="25">
        <v>1384.34</v>
      </c>
      <c r="G26" s="27">
        <v>0</v>
      </c>
      <c r="H26" s="27">
        <v>0</v>
      </c>
      <c r="I26" s="50"/>
      <c r="J26" s="45"/>
      <c r="K26" s="45"/>
      <c r="O26" s="14">
        <f t="shared" si="4"/>
        <v>23028.214500000002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4407.4066666666668</v>
      </c>
      <c r="C27" s="25">
        <f t="shared" si="0"/>
        <v>330.55549999999999</v>
      </c>
      <c r="D27" s="25">
        <f t="shared" si="1"/>
        <v>110.18516666666667</v>
      </c>
      <c r="E27" s="26">
        <f t="shared" si="2"/>
        <v>330.55549999999999</v>
      </c>
      <c r="F27" s="25">
        <f t="shared" si="3"/>
        <v>110.18516666666667</v>
      </c>
      <c r="G27" s="27">
        <v>0</v>
      </c>
      <c r="H27" s="27">
        <v>0</v>
      </c>
      <c r="I27" s="56"/>
      <c r="J27" s="56"/>
      <c r="K27" s="56"/>
      <c r="O27" s="14">
        <f t="shared" si="4"/>
        <v>23028.214500000002</v>
      </c>
      <c r="P27" s="23">
        <v>40369</v>
      </c>
      <c r="R27" s="31"/>
    </row>
    <row r="28" spans="1:22">
      <c r="A28" s="23">
        <v>40157</v>
      </c>
      <c r="B28" s="98">
        <f>J5</f>
        <v>4407.4066666666668</v>
      </c>
      <c r="C28" s="25">
        <f t="shared" si="0"/>
        <v>330.55549999999999</v>
      </c>
      <c r="D28" s="25">
        <f t="shared" si="1"/>
        <v>110.18516666666667</v>
      </c>
      <c r="E28" s="26">
        <f t="shared" si="2"/>
        <v>330.55549999999999</v>
      </c>
      <c r="F28" s="25">
        <f t="shared" si="3"/>
        <v>110.18516666666667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23028.214500000002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4407.4066666666668</v>
      </c>
      <c r="C29" s="25">
        <f t="shared" si="0"/>
        <v>330.55549999999999</v>
      </c>
      <c r="D29" s="25">
        <f t="shared" si="1"/>
        <v>110.18516666666667</v>
      </c>
      <c r="E29" s="26">
        <f t="shared" si="2"/>
        <v>330.55549999999999</v>
      </c>
      <c r="F29" s="25">
        <f t="shared" si="3"/>
        <v>110.18516666666667</v>
      </c>
      <c r="G29" s="27">
        <v>0</v>
      </c>
      <c r="H29" s="27">
        <v>0</v>
      </c>
      <c r="I29" s="56"/>
      <c r="J29" s="56"/>
      <c r="K29" s="56"/>
      <c r="O29" s="14">
        <f t="shared" si="4"/>
        <v>23028.214500000002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118925.91999999998</v>
      </c>
      <c r="C30" s="59">
        <f t="shared" si="5"/>
        <v>7309.906500000001</v>
      </c>
      <c r="D30" s="94">
        <f t="shared" si="5"/>
        <v>2971.7855</v>
      </c>
      <c r="E30" s="94">
        <f t="shared" si="5"/>
        <v>3539.2664999999997</v>
      </c>
      <c r="F30" s="94">
        <f t="shared" si="5"/>
        <v>1714.8954999999999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23028.214500000002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8919.4439999999977</v>
      </c>
      <c r="D31" s="160">
        <f>B30*0.025</f>
        <v>2973.1479999999997</v>
      </c>
      <c r="E31" s="64">
        <f>C31</f>
        <v>8919.4439999999977</v>
      </c>
      <c r="F31" s="64">
        <f>B30*0.025</f>
        <v>2973.1479999999997</v>
      </c>
      <c r="G31" s="65"/>
      <c r="H31" s="65"/>
      <c r="I31" s="44"/>
      <c r="J31" s="132"/>
      <c r="K31" s="44"/>
      <c r="O31" s="14">
        <f t="shared" si="4"/>
        <v>23028.214500000002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-1609.5374999999967</v>
      </c>
      <c r="D32" s="31">
        <f>D30-D31</f>
        <v>-1.3624999999997272</v>
      </c>
      <c r="E32" s="31">
        <f>E30-E31</f>
        <v>-5380.177499999998</v>
      </c>
      <c r="F32" s="31">
        <f>F30-F31</f>
        <v>-1258.2524999999998</v>
      </c>
      <c r="G32" s="45"/>
      <c r="H32" s="45"/>
      <c r="I32" s="57"/>
      <c r="J32" s="57"/>
      <c r="K32" s="57"/>
      <c r="O32" s="14">
        <f t="shared" si="4"/>
        <v>23028.214500000002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23028.214500000002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23028.214500000002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23028.214500000002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23028.214500000002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23028.214500000002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23028.214500000002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D1"/>
    <mergeCell ref="B2:D2"/>
  </mergeCells>
  <pageMargins left="0.45" right="0.4" top="1" bottom="0.72" header="0.5" footer="0.5"/>
  <pageSetup paperSize="1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22">
    <tabColor rgb="FFFF0000"/>
  </sheetPr>
  <dimension ref="A1:WVW48"/>
  <sheetViews>
    <sheetView zoomScaleNormal="100" workbookViewId="0">
      <selection activeCell="H35" sqref="H3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8" width="13" style="5" customWidth="1"/>
    <col min="9" max="9" width="15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7" t="s">
        <v>50</v>
      </c>
      <c r="C1" s="207"/>
      <c r="D1" s="1" t="s">
        <v>1</v>
      </c>
      <c r="E1" s="2">
        <v>9</v>
      </c>
      <c r="F1" s="2"/>
      <c r="G1" s="2"/>
      <c r="H1" s="2"/>
      <c r="I1" s="3" t="s">
        <v>2</v>
      </c>
      <c r="J1" s="73">
        <v>32736</v>
      </c>
      <c r="M1" s="210" t="s">
        <v>3</v>
      </c>
      <c r="N1" s="210"/>
    </row>
    <row r="2" spans="1:24">
      <c r="A2" s="1" t="s">
        <v>4</v>
      </c>
      <c r="B2" s="208">
        <v>538156912</v>
      </c>
      <c r="C2" s="208"/>
      <c r="E2" s="6"/>
      <c r="F2" s="6"/>
      <c r="G2" s="6"/>
      <c r="H2" s="6"/>
      <c r="I2" s="3" t="s">
        <v>5</v>
      </c>
      <c r="J2" s="73">
        <v>20155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159475.04999999999</v>
      </c>
      <c r="K3" s="49"/>
      <c r="L3" s="12" t="s">
        <v>12</v>
      </c>
      <c r="M3" s="13" t="s">
        <v>13</v>
      </c>
      <c r="N3" s="13" t="s">
        <v>13</v>
      </c>
      <c r="P3" s="14">
        <f>-SUM(C30+D30+E30+F30)</f>
        <v>-38982.812499999985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J3/E1</f>
        <v>17719.449999999997</v>
      </c>
      <c r="K4" s="49"/>
      <c r="L4" s="12" t="s">
        <v>16</v>
      </c>
      <c r="M4" s="13" t="s">
        <v>18</v>
      </c>
      <c r="N4" s="13" t="s">
        <v>19</v>
      </c>
      <c r="P4" s="19">
        <f>SUM(P2:P3)</f>
        <v>19017.187500000015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8859.7249999999985</v>
      </c>
      <c r="K5" s="49"/>
      <c r="L5" s="22" t="s">
        <v>27</v>
      </c>
      <c r="M5" s="21" t="s">
        <v>28</v>
      </c>
      <c r="N5" s="21" t="s">
        <v>28</v>
      </c>
      <c r="S5" s="14">
        <f>-D30</f>
        <v>-4872.8493749999998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21127.150625000002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19017.187500000015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25517.187500000015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11" t="e">
        <f>IF(#REF!&gt;=0,"Total&lt;45K eligible for SRA","&gt;45K Not eligible for SRA")</f>
        <v>#REF!</v>
      </c>
      <c r="M14" s="212"/>
      <c r="N14" s="213"/>
      <c r="P14" s="31"/>
      <c r="Q14" s="41"/>
      <c r="S14" s="14">
        <f>IF(S11&lt;S6,S11,S6)</f>
        <v>21127.150625000002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4" t="e">
        <f>IF(#REF!&gt;=0,IF(#REF!&gt;=0,"SRA OK","SRA need to be adjusted"), "&gt;45K Not eligible for SRA")</f>
        <v>#REF!</v>
      </c>
      <c r="M15" s="215"/>
      <c r="N15" s="216"/>
      <c r="P15" s="44"/>
      <c r="Q15" s="41"/>
      <c r="S15" s="14">
        <f t="shared" ref="S15:S38" si="4">S14-G6</f>
        <v>21127.150625000002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21127.150625000002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21127.150625000002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21127.150625000002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21127.150625000002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21127.150625000002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21127.150625000002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21127.150625000002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21127.150625000002</v>
      </c>
      <c r="T23" s="23">
        <v>40673</v>
      </c>
      <c r="V23" s="31"/>
      <c r="Y23" s="31"/>
    </row>
    <row r="24" spans="1:26">
      <c r="A24" s="23">
        <v>40096</v>
      </c>
      <c r="B24" s="98">
        <v>150615.41</v>
      </c>
      <c r="C24" s="25">
        <v>11296.16</v>
      </c>
      <c r="D24" s="25">
        <v>3765.33</v>
      </c>
      <c r="E24" s="26">
        <v>11296.16</v>
      </c>
      <c r="F24" s="25">
        <v>3765.33</v>
      </c>
      <c r="G24" s="27">
        <v>20790.150000000001</v>
      </c>
      <c r="H24" s="27">
        <v>0</v>
      </c>
      <c r="I24" s="53"/>
      <c r="J24" s="53"/>
      <c r="K24" s="53"/>
      <c r="L24" s="209"/>
      <c r="M24" s="209"/>
      <c r="N24" s="209"/>
      <c r="S24" s="14">
        <f t="shared" si="4"/>
        <v>21127.150625000002</v>
      </c>
      <c r="T24" s="23">
        <v>40688</v>
      </c>
      <c r="V24" s="31"/>
      <c r="Y24" s="31"/>
    </row>
    <row r="25" spans="1:26">
      <c r="A25" s="23">
        <v>40111</v>
      </c>
      <c r="B25" s="98">
        <f>J5</f>
        <v>8859.7249999999985</v>
      </c>
      <c r="C25" s="25">
        <f t="shared" si="0"/>
        <v>664.47937499999989</v>
      </c>
      <c r="D25" s="25">
        <f t="shared" si="1"/>
        <v>221.49312499999996</v>
      </c>
      <c r="E25" s="26">
        <f t="shared" si="2"/>
        <v>664.47937499999989</v>
      </c>
      <c r="F25" s="25">
        <f t="shared" si="3"/>
        <v>221.49312499999996</v>
      </c>
      <c r="G25" s="27">
        <v>1222.95</v>
      </c>
      <c r="H25" s="27">
        <v>0</v>
      </c>
      <c r="I25" s="54"/>
      <c r="J25" s="55"/>
      <c r="K25" s="54"/>
      <c r="L25" s="209"/>
      <c r="M25" s="209"/>
      <c r="N25" s="209"/>
      <c r="S25" s="14">
        <f t="shared" si="4"/>
        <v>21127.150625000002</v>
      </c>
      <c r="T25" s="23">
        <v>40704</v>
      </c>
      <c r="V25" s="31"/>
    </row>
    <row r="26" spans="1:26">
      <c r="A26" s="23">
        <v>40127</v>
      </c>
      <c r="B26" s="98">
        <f>J5</f>
        <v>8859.7249999999985</v>
      </c>
      <c r="C26" s="25">
        <f t="shared" si="0"/>
        <v>664.47937499999989</v>
      </c>
      <c r="D26" s="25">
        <v>0.08</v>
      </c>
      <c r="E26" s="26">
        <f t="shared" si="2"/>
        <v>664.47937499999989</v>
      </c>
      <c r="F26" s="25">
        <v>0.08</v>
      </c>
      <c r="G26" s="27">
        <v>0</v>
      </c>
      <c r="H26" s="27">
        <v>0</v>
      </c>
      <c r="I26" s="50"/>
      <c r="J26" s="45"/>
      <c r="K26" s="45"/>
      <c r="S26" s="14">
        <f t="shared" si="4"/>
        <v>21127.150625000002</v>
      </c>
      <c r="T26" s="23">
        <v>40719</v>
      </c>
      <c r="V26" s="31"/>
    </row>
    <row r="27" spans="1:26" ht="15" customHeight="1">
      <c r="A27" s="23">
        <v>40142</v>
      </c>
      <c r="B27" s="98">
        <f>J5</f>
        <v>8859.7249999999985</v>
      </c>
      <c r="C27" s="25">
        <f t="shared" si="0"/>
        <v>664.47937499999989</v>
      </c>
      <c r="D27" s="25">
        <v>0</v>
      </c>
      <c r="E27" s="26">
        <f>B27*0.075</f>
        <v>664.47937499999989</v>
      </c>
      <c r="F27" s="25">
        <v>0</v>
      </c>
      <c r="G27" s="134">
        <v>-885.95</v>
      </c>
      <c r="H27" s="27">
        <v>0</v>
      </c>
      <c r="I27" s="56"/>
      <c r="J27" s="56"/>
      <c r="K27" s="56"/>
      <c r="S27" s="14">
        <f t="shared" si="4"/>
        <v>21127.150625000002</v>
      </c>
      <c r="T27" s="23">
        <v>40369</v>
      </c>
      <c r="V27" s="31"/>
    </row>
    <row r="28" spans="1:26">
      <c r="A28" s="23">
        <v>40157</v>
      </c>
      <c r="B28" s="98">
        <f>J5</f>
        <v>8859.7249999999985</v>
      </c>
      <c r="C28" s="25">
        <f t="shared" si="0"/>
        <v>664.47937499999989</v>
      </c>
      <c r="D28" s="135">
        <f>(B28*0.025)+221.47+221.49</f>
        <v>664.453125</v>
      </c>
      <c r="E28" s="26">
        <f>B28*0.075</f>
        <v>664.47937499999989</v>
      </c>
      <c r="F28" s="135">
        <f>(B28*0.025)+221.47+221.49</f>
        <v>664.453125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21127.150625000002</v>
      </c>
      <c r="T28" s="23">
        <v>40384</v>
      </c>
      <c r="V28" s="89"/>
    </row>
    <row r="29" spans="1:26" ht="13.5" thickBot="1">
      <c r="A29" s="23">
        <v>39441</v>
      </c>
      <c r="B29" s="98">
        <f>J5</f>
        <v>8859.7249999999985</v>
      </c>
      <c r="C29" s="25">
        <f t="shared" si="0"/>
        <v>664.47937499999989</v>
      </c>
      <c r="D29" s="126">
        <f t="shared" si="1"/>
        <v>221.49312499999996</v>
      </c>
      <c r="E29" s="97">
        <f t="shared" si="2"/>
        <v>664.47937499999989</v>
      </c>
      <c r="F29" s="97">
        <f t="shared" si="3"/>
        <v>221.49312499999996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21127.150625000002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194914.03500000003</v>
      </c>
      <c r="C30" s="59">
        <f t="shared" si="5"/>
        <v>14618.556874999995</v>
      </c>
      <c r="D30" s="94">
        <f t="shared" si="5"/>
        <v>4872.8493749999998</v>
      </c>
      <c r="E30" s="94">
        <f t="shared" si="5"/>
        <v>14618.556874999995</v>
      </c>
      <c r="F30" s="94">
        <f t="shared" si="5"/>
        <v>4872.8493749999998</v>
      </c>
      <c r="G30" s="59">
        <f t="shared" si="5"/>
        <v>21127.15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21127.150625000002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14618.552625000002</v>
      </c>
      <c r="D31" s="160">
        <f>B30*0.025</f>
        <v>4872.850875000001</v>
      </c>
      <c r="E31" s="64">
        <f>C31</f>
        <v>14618.552625000002</v>
      </c>
      <c r="F31" s="64">
        <f>D31</f>
        <v>4872.850875000001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21127.150625000002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4.2499999926803866E-3</v>
      </c>
      <c r="D32" s="31">
        <f>D30-D31</f>
        <v>-1.5000000012150849E-3</v>
      </c>
      <c r="E32" s="31">
        <f>E30-E31</f>
        <v>4.2499999926803866E-3</v>
      </c>
      <c r="F32" s="31">
        <f>F30-F31</f>
        <v>-1.5000000012150849E-3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21127.150625000002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337.00062500000058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-885.94937499999946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-885.94937499999946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6.2500000058207661E-4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6.2500000058207661E-4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6.2500000058207661E-4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WVS70"/>
  <sheetViews>
    <sheetView topLeftCell="R1" zoomScaleNormal="100" workbookViewId="0">
      <selection activeCell="S3" sqref="S3:AJ97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140625" style="5"/>
    <col min="19" max="19" width="13.5703125" style="5" customWidth="1"/>
    <col min="20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30" ht="13.5" thickBot="1">
      <c r="A1" s="1" t="s">
        <v>0</v>
      </c>
      <c r="B1" s="207" t="s">
        <v>65</v>
      </c>
      <c r="C1" s="207"/>
      <c r="D1" s="1" t="s">
        <v>1</v>
      </c>
      <c r="E1" s="2">
        <v>12</v>
      </c>
      <c r="F1" s="3" t="s">
        <v>2</v>
      </c>
      <c r="G1" s="4">
        <v>38040</v>
      </c>
      <c r="J1" s="210" t="s">
        <v>3</v>
      </c>
      <c r="K1" s="210"/>
    </row>
    <row r="2" spans="1:30">
      <c r="A2" s="1" t="s">
        <v>4</v>
      </c>
      <c r="B2" s="208">
        <v>537585840</v>
      </c>
      <c r="C2" s="208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4" t="e">
        <f>IF(#REF!&gt;=0,IF(#REF!&gt;=0,"SRA OK","SRA need to be adjusted"), "&gt;45K Not eligible for SRA")</f>
        <v>#REF!</v>
      </c>
      <c r="J14" s="215"/>
      <c r="K14" s="216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4" t="e">
        <v>#REF!</v>
      </c>
      <c r="J15" s="215"/>
      <c r="K15" s="216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9"/>
      <c r="J24" s="209"/>
      <c r="K24" s="209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9"/>
      <c r="J25" s="209"/>
      <c r="K25" s="209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WVS70"/>
  <sheetViews>
    <sheetView topLeftCell="E1" zoomScaleNormal="100" workbookViewId="0">
      <selection activeCell="B6" sqref="B6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28515625" style="5"/>
    <col min="19" max="19" width="13.5703125" style="5" customWidth="1"/>
    <col min="20" max="255" width="9.28515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28515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28515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28515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28515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28515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28515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28515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28515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28515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28515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28515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28515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28515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28515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28515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28515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28515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28515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28515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28515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28515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28515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28515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28515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28515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28515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28515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28515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28515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28515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28515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28515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28515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28515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28515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28515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28515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28515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28515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28515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28515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28515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28515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28515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28515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28515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28515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28515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28515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28515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28515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28515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28515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28515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28515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28515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28515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28515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28515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28515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28515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28515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28515625" style="5"/>
  </cols>
  <sheetData>
    <row r="1" spans="1:30" ht="13.5" thickBot="1">
      <c r="A1" s="1" t="s">
        <v>0</v>
      </c>
      <c r="B1" s="207" t="s">
        <v>65</v>
      </c>
      <c r="C1" s="207"/>
      <c r="D1" s="1" t="s">
        <v>1</v>
      </c>
      <c r="E1" s="2">
        <v>12</v>
      </c>
      <c r="F1" s="3" t="s">
        <v>2</v>
      </c>
      <c r="G1" s="4">
        <v>38040</v>
      </c>
      <c r="J1" s="210" t="s">
        <v>3</v>
      </c>
      <c r="K1" s="210"/>
    </row>
    <row r="2" spans="1:30">
      <c r="A2" s="1" t="s">
        <v>4</v>
      </c>
      <c r="B2" s="208">
        <v>537585840</v>
      </c>
      <c r="C2" s="208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4" t="e">
        <f>IF(#REF!&gt;=0,IF(#REF!&gt;=0,"SRA OK","SRA need to be adjusted"), "&gt;45K Not eligible for SRA")</f>
        <v>#REF!</v>
      </c>
      <c r="J14" s="215"/>
      <c r="K14" s="216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4" t="e">
        <v>#REF!</v>
      </c>
      <c r="J15" s="215"/>
      <c r="K15" s="216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9"/>
      <c r="J24" s="209"/>
      <c r="K24" s="209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9"/>
      <c r="J25" s="209"/>
      <c r="K25" s="209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8.7109375" style="5"/>
    <col min="20" max="20" width="10.7109375" style="5" customWidth="1"/>
    <col min="21" max="256" width="8.710937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8.710937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8.710937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8.710937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8.710937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8.710937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8.710937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8.710937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8.710937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8.710937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8.710937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8.710937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8.710937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8.710937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8.710937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8.710937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8.710937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8.710937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8.710937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8.710937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8.710937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8.710937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8.710937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8.710937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8.710937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8.710937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8.710937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8.710937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8.710937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8.710937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8.710937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8.710937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8.710937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8.710937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8.710937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8.710937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8.710937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8.710937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8.710937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8.710937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8.710937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8.710937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8.710937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8.710937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8.710937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8.710937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8.710937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8.710937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8.710937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8.710937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8.710937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8.710937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8.710937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8.710937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8.710937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8.710937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8.710937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8.710937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8.710937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8.710937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8.710937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8.710937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8.710937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8.7109375" style="5"/>
  </cols>
  <sheetData>
    <row r="1" spans="1:24" ht="13.5" thickBot="1">
      <c r="A1" s="1" t="s">
        <v>0</v>
      </c>
      <c r="B1" s="207" t="s">
        <v>60</v>
      </c>
      <c r="C1" s="207"/>
      <c r="D1" s="1" t="s">
        <v>1</v>
      </c>
      <c r="E1" s="2">
        <v>12</v>
      </c>
      <c r="F1" s="3" t="s">
        <v>2</v>
      </c>
      <c r="G1" s="73">
        <v>39310</v>
      </c>
      <c r="J1" s="210" t="s">
        <v>3</v>
      </c>
      <c r="K1" s="210"/>
    </row>
    <row r="2" spans="1:24">
      <c r="A2" s="1" t="s">
        <v>4</v>
      </c>
      <c r="B2" s="208">
        <v>299422366</v>
      </c>
      <c r="C2" s="208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110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4" t="e">
        <f>IF(#REF!&gt;=0,IF(#REF!&gt;=0,"SRA OK","SRA need to be adjusted"), "&gt;45K Not eligible for SRA")</f>
        <v>#REF!</v>
      </c>
      <c r="J15" s="215"/>
      <c r="K15" s="216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9"/>
      <c r="J24" s="209"/>
      <c r="K24" s="209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9"/>
      <c r="J25" s="209"/>
      <c r="K25" s="209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customSheetViews>
    <customSheetView guid="{B51D5B49-D308-4214-86D8-9F7F021478DE}" scale="85" hiddenColumns="1">
      <selection activeCell="D42" sqref="D42"/>
      <pageMargins left="0.45" right="0.4" top="1" bottom="0.72" header="0.5" footer="0.5"/>
      <pageSetup paperSize="144" orientation="landscape" r:id="rId1"/>
      <headerFooter alignWithMargins="0"/>
    </customSheetView>
    <customSheetView guid="{38B7F0AC-1968-4179-B248-6144E152B72B}" scale="85" showPageBreaks="1" hiddenColumns="1">
      <selection activeCell="D42" sqref="D42"/>
      <pageMargins left="0.45" right="0.4" top="1" bottom="0.72" header="0.5" footer="0.5"/>
      <pageSetup paperSize="144" orientation="landscape" r:id="rId2"/>
      <headerFooter alignWithMargins="0"/>
    </customSheetView>
  </customSheetViews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9.140625" style="5"/>
    <col min="20" max="20" width="10.7109375" style="5" customWidth="1"/>
    <col min="21" max="256" width="9.14062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9.14062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9.14062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9.14062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9.14062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9.14062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9.14062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9.14062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9.14062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9.14062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9.14062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9.14062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9.14062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9.14062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9.14062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9.14062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9.14062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9.14062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9.14062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9.14062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9.14062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9.14062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9.14062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9.14062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9.14062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9.14062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9.14062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9.14062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9.14062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9.14062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9.14062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9.14062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9.14062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9.14062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9.14062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9.14062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9.14062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9.14062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9.14062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9.14062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9.14062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9.14062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9.14062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9.14062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9.14062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9.14062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9.14062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9.14062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9.14062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9.14062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9.14062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9.14062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9.14062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9.14062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9.14062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9.14062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9.14062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9.14062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9.14062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9.14062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9.14062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9.14062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9.14062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9.140625" style="5"/>
  </cols>
  <sheetData>
    <row r="1" spans="1:24" ht="13.5" thickBot="1">
      <c r="A1" s="1" t="s">
        <v>0</v>
      </c>
      <c r="B1" s="207" t="s">
        <v>60</v>
      </c>
      <c r="C1" s="207"/>
      <c r="D1" s="1" t="s">
        <v>1</v>
      </c>
      <c r="E1" s="2">
        <v>12</v>
      </c>
      <c r="F1" s="3" t="s">
        <v>2</v>
      </c>
      <c r="G1" s="73">
        <v>39310</v>
      </c>
      <c r="J1" s="210" t="s">
        <v>3</v>
      </c>
      <c r="K1" s="210"/>
    </row>
    <row r="2" spans="1:24">
      <c r="A2" s="1" t="s">
        <v>4</v>
      </c>
      <c r="B2" s="208">
        <v>299422366</v>
      </c>
      <c r="C2" s="208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100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4" t="e">
        <f>IF(#REF!&gt;=0,IF(#REF!&gt;=0,"SRA OK","SRA need to be adjusted"), "&gt;45K Not eligible for SRA")</f>
        <v>#REF!</v>
      </c>
      <c r="J15" s="215"/>
      <c r="K15" s="216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9"/>
      <c r="J24" s="209"/>
      <c r="K24" s="209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9"/>
      <c r="J25" s="209"/>
      <c r="K25" s="209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3">
    <tabColor rgb="FFFF0000"/>
  </sheetPr>
  <dimension ref="A1:WVS48"/>
  <sheetViews>
    <sheetView zoomScale="85" zoomScaleNormal="85" workbookViewId="0">
      <selection activeCell="F43" sqref="F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113</v>
      </c>
      <c r="C1" s="207"/>
      <c r="D1" s="127"/>
      <c r="E1" s="1" t="s">
        <v>1</v>
      </c>
      <c r="F1" s="2">
        <v>9</v>
      </c>
      <c r="G1" s="16"/>
      <c r="H1" s="2"/>
      <c r="I1" s="3" t="s">
        <v>2</v>
      </c>
      <c r="J1" s="4">
        <v>36023</v>
      </c>
    </row>
    <row r="2" spans="1:20">
      <c r="A2" s="1" t="s">
        <v>4</v>
      </c>
      <c r="B2" s="208">
        <v>568793583</v>
      </c>
      <c r="C2" s="208"/>
      <c r="D2" s="128"/>
      <c r="F2" s="6"/>
      <c r="H2" s="6"/>
      <c r="I2" s="3" t="s">
        <v>5</v>
      </c>
      <c r="J2" s="4">
        <v>24988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198440.55</v>
      </c>
      <c r="K3" s="49"/>
      <c r="L3" s="14">
        <f>-SUM(C30+D30+E30+F30)</f>
        <v>-52917.62937499999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J3/F1</f>
        <v>22048.949999999997</v>
      </c>
      <c r="K4" s="49"/>
      <c r="L4" s="19">
        <f>SUM(L2:L3)</f>
        <v>5082.3706250000105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11024.474999999999</v>
      </c>
      <c r="K5" s="49"/>
      <c r="O5" s="14">
        <f>-D30</f>
        <v>-6614.6874999999982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19385.3125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5082.3706250000105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11582.37062500001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11582.37062500001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11582.37062500001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11582.37062500001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11582.37062500001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11582.37062500001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11582.37062500001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11582.37062500001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11582.37062500001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11582.37062500001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11582.37062500001</v>
      </c>
      <c r="P23" s="23">
        <v>40673</v>
      </c>
      <c r="R23" s="31"/>
      <c r="U23" s="31"/>
    </row>
    <row r="24" spans="1:22">
      <c r="A24" s="23">
        <v>40096</v>
      </c>
      <c r="B24" s="125">
        <v>209465.1</v>
      </c>
      <c r="C24" s="125">
        <v>15709.95</v>
      </c>
      <c r="D24" s="125">
        <v>4960.9799999999996</v>
      </c>
      <c r="E24" s="26">
        <v>15709.95</v>
      </c>
      <c r="F24" s="125">
        <v>5236.59</v>
      </c>
      <c r="G24" s="27">
        <v>21039.02</v>
      </c>
      <c r="H24" s="27">
        <v>0</v>
      </c>
      <c r="I24" s="53"/>
      <c r="J24" s="53"/>
      <c r="K24" s="53"/>
      <c r="O24" s="14">
        <f t="shared" si="4"/>
        <v>11582.37062500001</v>
      </c>
      <c r="P24" s="23">
        <v>40688</v>
      </c>
      <c r="R24" s="31"/>
      <c r="U24" s="31"/>
    </row>
    <row r="25" spans="1:22">
      <c r="A25" s="23">
        <v>40111</v>
      </c>
      <c r="B25" s="98">
        <f>J5</f>
        <v>11024.474999999999</v>
      </c>
      <c r="C25" s="25">
        <f t="shared" si="0"/>
        <v>826.83562499999982</v>
      </c>
      <c r="D25" s="25">
        <v>0</v>
      </c>
      <c r="E25" s="26">
        <f>B25*0.075</f>
        <v>826.83562499999982</v>
      </c>
      <c r="F25" s="25">
        <v>0</v>
      </c>
      <c r="G25" s="27">
        <v>-9456.66</v>
      </c>
      <c r="H25" s="27">
        <v>0</v>
      </c>
      <c r="I25" s="54"/>
      <c r="J25" s="55"/>
      <c r="K25" s="54"/>
      <c r="O25" s="14">
        <f t="shared" si="4"/>
        <v>11582.37062500001</v>
      </c>
      <c r="P25" s="23">
        <v>40704</v>
      </c>
      <c r="R25" s="31"/>
    </row>
    <row r="26" spans="1:22">
      <c r="A26" s="23">
        <v>40127</v>
      </c>
      <c r="B26" s="98">
        <f>J5</f>
        <v>11024.474999999999</v>
      </c>
      <c r="C26" s="25">
        <f t="shared" si="0"/>
        <v>826.83562499999982</v>
      </c>
      <c r="D26" s="25">
        <f>B26*0.025</f>
        <v>275.611875</v>
      </c>
      <c r="E26" s="26">
        <f t="shared" si="2"/>
        <v>826.83562499999982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11582.37062500001</v>
      </c>
      <c r="P26" s="23">
        <v>40719</v>
      </c>
      <c r="R26" s="31"/>
    </row>
    <row r="27" spans="1:22" ht="15" customHeight="1">
      <c r="A27" s="23">
        <v>40142</v>
      </c>
      <c r="B27" s="98">
        <f>J5</f>
        <v>11024.474999999999</v>
      </c>
      <c r="C27" s="25">
        <f t="shared" si="0"/>
        <v>826.83562499999982</v>
      </c>
      <c r="D27" s="135">
        <f>(B27*0.025)+551.26</f>
        <v>826.87187500000005</v>
      </c>
      <c r="E27" s="26">
        <f>B27*0.075</f>
        <v>826.83562499999982</v>
      </c>
      <c r="F27" s="135">
        <f>(B27*0.025)+551.26</f>
        <v>826.87187500000005</v>
      </c>
      <c r="G27" s="27">
        <v>0</v>
      </c>
      <c r="H27" s="27">
        <v>0</v>
      </c>
      <c r="I27" s="56"/>
      <c r="J27" s="56"/>
      <c r="K27" s="56"/>
      <c r="O27" s="14">
        <f t="shared" si="4"/>
        <v>11582.37062500001</v>
      </c>
      <c r="P27" s="23">
        <v>40369</v>
      </c>
      <c r="R27" s="31"/>
    </row>
    <row r="28" spans="1:22">
      <c r="A28" s="23">
        <v>40157</v>
      </c>
      <c r="B28" s="98">
        <f>J5</f>
        <v>11024.474999999999</v>
      </c>
      <c r="C28" s="25">
        <f t="shared" si="0"/>
        <v>826.83562499999982</v>
      </c>
      <c r="D28" s="25">
        <f>B28*0.025</f>
        <v>275.611875</v>
      </c>
      <c r="E28" s="26">
        <f t="shared" si="2"/>
        <v>826.83562499999982</v>
      </c>
      <c r="F28" s="25">
        <f>B28*0.025</f>
        <v>275.611875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11582.37062500001</v>
      </c>
      <c r="P28" s="23">
        <v>40384</v>
      </c>
      <c r="R28" s="89"/>
    </row>
    <row r="29" spans="1:22" ht="13.5" thickBot="1">
      <c r="A29" s="23">
        <v>39441</v>
      </c>
      <c r="B29" s="98">
        <f>J5</f>
        <v>11024.474999999999</v>
      </c>
      <c r="C29" s="25">
        <f t="shared" si="0"/>
        <v>826.83562499999982</v>
      </c>
      <c r="D29" s="25">
        <f>B29*0.025</f>
        <v>275.611875</v>
      </c>
      <c r="E29" s="26">
        <f t="shared" si="2"/>
        <v>826.83562499999982</v>
      </c>
      <c r="F29" s="25">
        <f>B29*0.025</f>
        <v>275.611875</v>
      </c>
      <c r="G29" s="27">
        <v>0</v>
      </c>
      <c r="H29" s="27">
        <v>0</v>
      </c>
      <c r="I29" s="56"/>
      <c r="J29" s="56"/>
      <c r="K29" s="56"/>
      <c r="O29" s="14">
        <f t="shared" si="4"/>
        <v>11582.37062500001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264587.47500000003</v>
      </c>
      <c r="C30" s="59">
        <f t="shared" si="5"/>
        <v>19844.128124999999</v>
      </c>
      <c r="D30" s="94">
        <f t="shared" si="5"/>
        <v>6614.6874999999982</v>
      </c>
      <c r="E30" s="94">
        <f t="shared" si="5"/>
        <v>19844.128124999999</v>
      </c>
      <c r="F30" s="94">
        <f t="shared" si="5"/>
        <v>6614.6856249999992</v>
      </c>
      <c r="G30" s="59">
        <f t="shared" si="5"/>
        <v>11582.36</v>
      </c>
      <c r="H30" s="59">
        <f t="shared" si="5"/>
        <v>0</v>
      </c>
      <c r="I30" s="44"/>
      <c r="J30" s="132"/>
      <c r="K30" s="44"/>
      <c r="O30" s="14">
        <f t="shared" si="4"/>
        <v>11582.37062500001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19844.060625000002</v>
      </c>
      <c r="D31" s="160">
        <f>B30*0.025</f>
        <v>6614.6868750000012</v>
      </c>
      <c r="E31" s="64">
        <f>C31</f>
        <v>19844.060625000002</v>
      </c>
      <c r="F31" s="64">
        <f>D31</f>
        <v>6614.6868750000012</v>
      </c>
      <c r="G31" s="65"/>
      <c r="H31" s="65"/>
      <c r="I31" s="44"/>
      <c r="J31" s="132"/>
      <c r="K31" s="44"/>
      <c r="O31" s="14">
        <f t="shared" si="4"/>
        <v>11582.37062500001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6.7499999997380655E-2</v>
      </c>
      <c r="D32" s="31">
        <f>D30-D31</f>
        <v>6.249999969440978E-4</v>
      </c>
      <c r="E32" s="31">
        <f>E30-E31</f>
        <v>6.7499999997380655E-2</v>
      </c>
      <c r="F32" s="31">
        <f>F30-F31</f>
        <v>-1.2500000020736479E-3</v>
      </c>
      <c r="G32" s="45"/>
      <c r="H32" s="45"/>
      <c r="I32" s="57"/>
      <c r="J32" s="57"/>
      <c r="K32" s="57"/>
      <c r="O32" s="14">
        <f t="shared" si="4"/>
        <v>11582.37062500001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-9456.64937499999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1.0625000009895302E-2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1.0625000009895302E-2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1.0625000009895302E-2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1.0625000009895302E-2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1.0625000009895302E-2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2">
    <tabColor rgb="FFFF0000"/>
  </sheetPr>
  <dimension ref="A1:WVV48"/>
  <sheetViews>
    <sheetView topLeftCell="A9"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7" t="s">
        <v>108</v>
      </c>
      <c r="C1" s="207"/>
      <c r="D1" s="1" t="s">
        <v>1</v>
      </c>
      <c r="E1" s="2">
        <v>9</v>
      </c>
      <c r="F1" s="2"/>
      <c r="G1" s="2"/>
      <c r="H1" s="3" t="s">
        <v>2</v>
      </c>
      <c r="I1" s="4">
        <v>37119</v>
      </c>
      <c r="L1" s="210" t="s">
        <v>3</v>
      </c>
      <c r="M1" s="210"/>
      <c r="N1"/>
      <c r="T1"/>
      <c r="U1"/>
      <c r="V1"/>
    </row>
    <row r="2" spans="1:25" ht="15">
      <c r="A2" s="1" t="s">
        <v>4</v>
      </c>
      <c r="B2" s="208">
        <v>396023559</v>
      </c>
      <c r="C2" s="208"/>
      <c r="D2"/>
      <c r="E2" s="6" t="s">
        <v>94</v>
      </c>
      <c r="F2" s="6"/>
      <c r="G2" s="6"/>
      <c r="H2" s="3" t="s">
        <v>5</v>
      </c>
      <c r="I2" s="4">
        <v>23904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7"/>
      <c r="W2" s="207"/>
      <c r="X2" s="207"/>
      <c r="Y2" s="207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125">
        <v>83404.800000000003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-17144.300000000003</v>
      </c>
      <c r="R3" s="14">
        <v>0</v>
      </c>
      <c r="S3" s="15" t="s">
        <v>14</v>
      </c>
      <c r="T3"/>
      <c r="U3" s="16"/>
      <c r="V3" s="208"/>
      <c r="W3" s="208"/>
      <c r="X3" s="208"/>
      <c r="Y3" s="208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9267.2000000000007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40855.699999999997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4633.6000000000004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-2143.0399999999995</v>
      </c>
      <c r="S5" s="15" t="s">
        <v>29</v>
      </c>
      <c r="T5"/>
      <c r="U5" s="16"/>
    </row>
    <row r="6" spans="1:25" ht="15.7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B6*0.1</f>
        <v>0</v>
      </c>
      <c r="F6" s="27">
        <v>0</v>
      </c>
      <c r="G6" s="2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23856.959999999999</v>
      </c>
      <c r="S6" s="32" t="s">
        <v>93</v>
      </c>
      <c r="T6"/>
      <c r="U6" s="16"/>
    </row>
    <row r="7" spans="1:25" ht="15.7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3" si="2">B7*0.1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7">
        <v>0</v>
      </c>
      <c r="G8" s="2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40855.699999999997</v>
      </c>
      <c r="S8" s="34" t="s">
        <v>101</v>
      </c>
      <c r="T8"/>
      <c r="U8" s="16"/>
    </row>
    <row r="9" spans="1:25" ht="15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7">
        <v>0</v>
      </c>
      <c r="G9" s="2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47355.7</v>
      </c>
      <c r="S11" s="37"/>
      <c r="T11"/>
      <c r="U11" s="41"/>
      <c r="V11"/>
    </row>
    <row r="12" spans="1:25" ht="15.7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7">
        <v>0</v>
      </c>
      <c r="G14" s="27">
        <v>0</v>
      </c>
      <c r="K14" s="211" t="e">
        <f>IF(#REF!&gt;=0,"Total&lt;45K eligible for SRA","&gt;45K Not eligible for SRA")</f>
        <v>#REF!</v>
      </c>
      <c r="L14" s="212"/>
      <c r="M14" s="213"/>
      <c r="O14" s="31"/>
      <c r="P14" s="41"/>
      <c r="R14" s="14">
        <f>IF(R11&lt;R6,R11,R6)</f>
        <v>23856.959999999999</v>
      </c>
      <c r="S14" s="42" t="s">
        <v>31</v>
      </c>
      <c r="T14"/>
      <c r="U14" s="31"/>
      <c r="V14" s="31"/>
    </row>
    <row r="15" spans="1:25" ht="15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7">
        <v>0</v>
      </c>
      <c r="G15" s="27">
        <v>0</v>
      </c>
      <c r="I15"/>
      <c r="J15"/>
      <c r="K15" s="214" t="e">
        <v>#REF!</v>
      </c>
      <c r="L15" s="215"/>
      <c r="M15" s="216"/>
      <c r="N15"/>
      <c r="O15" s="44"/>
      <c r="P15" s="41"/>
      <c r="R15" s="14">
        <f>R14-F6</f>
        <v>23856.959999999999</v>
      </c>
      <c r="S15" s="23">
        <v>40553</v>
      </c>
      <c r="T15"/>
      <c r="U15" s="31"/>
      <c r="V15"/>
    </row>
    <row r="16" spans="1:25" ht="15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23856.959999999999</v>
      </c>
      <c r="S16" s="23">
        <v>40568</v>
      </c>
      <c r="T16"/>
      <c r="U16" s="31"/>
      <c r="V16"/>
    </row>
    <row r="17" spans="1:25" ht="15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7">
        <v>0</v>
      </c>
      <c r="G17" s="2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23856.959999999999</v>
      </c>
      <c r="S17" s="23">
        <v>40584</v>
      </c>
      <c r="T17"/>
      <c r="U17" s="31"/>
      <c r="V17"/>
    </row>
    <row r="18" spans="1:25" ht="15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7">
        <v>0</v>
      </c>
      <c r="G18" s="27">
        <v>0</v>
      </c>
      <c r="I18"/>
      <c r="J18"/>
      <c r="K18" s="45"/>
      <c r="L18" s="45"/>
      <c r="M18" s="45"/>
      <c r="N18" s="45"/>
      <c r="R18" s="14">
        <f t="shared" si="3"/>
        <v>23856.959999999999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7">
        <v>0</v>
      </c>
      <c r="G19" s="27">
        <v>0</v>
      </c>
      <c r="I19"/>
      <c r="J19"/>
      <c r="K19" s="49"/>
      <c r="L19"/>
      <c r="M19"/>
      <c r="N19"/>
      <c r="R19" s="14">
        <f t="shared" si="3"/>
        <v>23856.959999999999</v>
      </c>
      <c r="S19" s="23">
        <v>40612</v>
      </c>
      <c r="T19"/>
      <c r="U19"/>
      <c r="V19"/>
    </row>
    <row r="20" spans="1:25" ht="15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R20" s="14">
        <f t="shared" si="3"/>
        <v>23856.959999999999</v>
      </c>
      <c r="S20" s="23">
        <v>40627</v>
      </c>
      <c r="T20"/>
      <c r="U20"/>
      <c r="V20"/>
    </row>
    <row r="21" spans="1:25" ht="15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7">
        <v>0</v>
      </c>
      <c r="G21" s="2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23856.959999999999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7">
        <v>0</v>
      </c>
      <c r="G22" s="2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23856.959999999999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7">
        <v>0</v>
      </c>
      <c r="G23" s="27">
        <v>0</v>
      </c>
      <c r="H23" s="53"/>
      <c r="I23" s="53"/>
      <c r="J23" s="53"/>
      <c r="L23"/>
      <c r="M23"/>
      <c r="N23"/>
      <c r="R23" s="14">
        <f t="shared" si="3"/>
        <v>23856.959999999999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25">
        <v>62553.66</v>
      </c>
      <c r="C24" s="125">
        <v>4691.51</v>
      </c>
      <c r="D24" s="125">
        <v>1534.86</v>
      </c>
      <c r="E24" s="26">
        <f>1563.82+4691.51</f>
        <v>6255.33</v>
      </c>
      <c r="F24" s="125">
        <v>9559.1</v>
      </c>
      <c r="G24" s="143">
        <v>0</v>
      </c>
      <c r="H24" s="53"/>
      <c r="I24" s="53"/>
      <c r="J24" s="53"/>
      <c r="K24" s="209"/>
      <c r="L24" s="209"/>
      <c r="M24" s="209"/>
      <c r="N24"/>
      <c r="R24" s="14">
        <f t="shared" si="3"/>
        <v>23856.959999999999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98">
        <f>I5</f>
        <v>4633.6000000000004</v>
      </c>
      <c r="C25" s="25">
        <f t="shared" si="0"/>
        <v>347.52000000000004</v>
      </c>
      <c r="D25" s="25">
        <f>115.84+28.98</f>
        <v>144.82</v>
      </c>
      <c r="E25" s="26">
        <f t="shared" ref="E25:E30" si="4">C25+D25</f>
        <v>492.34000000000003</v>
      </c>
      <c r="F25" s="27">
        <v>955.91</v>
      </c>
      <c r="G25" s="27">
        <v>0</v>
      </c>
      <c r="H25" s="54"/>
      <c r="I25" s="55"/>
      <c r="J25" s="54"/>
      <c r="K25" s="209"/>
      <c r="L25" s="209"/>
      <c r="M25" s="209"/>
      <c r="N25"/>
      <c r="R25" s="14">
        <f t="shared" si="3"/>
        <v>23856.959999999999</v>
      </c>
      <c r="S25" s="23">
        <v>40704</v>
      </c>
      <c r="T25"/>
      <c r="U25" s="31"/>
      <c r="V25"/>
    </row>
    <row r="26" spans="1:25" ht="15">
      <c r="A26" s="23">
        <v>40127</v>
      </c>
      <c r="B26" s="98">
        <f>I5</f>
        <v>4633.6000000000004</v>
      </c>
      <c r="C26" s="25">
        <f t="shared" si="0"/>
        <v>347.52000000000004</v>
      </c>
      <c r="D26" s="25">
        <f t="shared" si="1"/>
        <v>115.84000000000002</v>
      </c>
      <c r="E26" s="26">
        <f t="shared" si="4"/>
        <v>463.36000000000007</v>
      </c>
      <c r="F26" s="27">
        <v>955.91</v>
      </c>
      <c r="G26" s="27">
        <v>0</v>
      </c>
      <c r="H26" s="50"/>
      <c r="I26" s="45"/>
      <c r="J26" s="45"/>
      <c r="K26"/>
      <c r="L26"/>
      <c r="M26"/>
      <c r="N26"/>
      <c r="R26" s="14">
        <f t="shared" si="3"/>
        <v>23856.959999999999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98">
        <f>I5</f>
        <v>4633.6000000000004</v>
      </c>
      <c r="C27" s="25">
        <f t="shared" si="0"/>
        <v>347.52000000000004</v>
      </c>
      <c r="D27" s="25">
        <f t="shared" si="1"/>
        <v>115.84000000000002</v>
      </c>
      <c r="E27" s="26">
        <f t="shared" si="4"/>
        <v>463.36000000000007</v>
      </c>
      <c r="F27" s="27">
        <v>955.91</v>
      </c>
      <c r="G27" s="27">
        <v>0</v>
      </c>
      <c r="H27" s="56"/>
      <c r="I27" s="56"/>
      <c r="J27" s="56"/>
      <c r="K27"/>
      <c r="L27"/>
      <c r="M27"/>
      <c r="N27"/>
      <c r="R27" s="14">
        <f t="shared" si="3"/>
        <v>23856.959999999999</v>
      </c>
      <c r="S27" s="23">
        <v>40369</v>
      </c>
      <c r="T27"/>
      <c r="U27" s="31"/>
      <c r="V27"/>
    </row>
    <row r="28" spans="1:25" ht="15">
      <c r="A28" s="23">
        <v>40157</v>
      </c>
      <c r="B28" s="98">
        <f>I5</f>
        <v>4633.6000000000004</v>
      </c>
      <c r="C28" s="25">
        <f t="shared" si="0"/>
        <v>347.52000000000004</v>
      </c>
      <c r="D28" s="25">
        <f t="shared" si="1"/>
        <v>115.84000000000002</v>
      </c>
      <c r="E28" s="26">
        <f t="shared" si="4"/>
        <v>463.36000000000007</v>
      </c>
      <c r="F28" s="27">
        <v>955.91</v>
      </c>
      <c r="G28" s="27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23856.959999999999</v>
      </c>
      <c r="S28" s="23">
        <v>40384</v>
      </c>
      <c r="T28"/>
      <c r="U28" s="89"/>
      <c r="V28"/>
    </row>
    <row r="29" spans="1:25" ht="15.75" thickBot="1">
      <c r="A29" s="23">
        <v>39441</v>
      </c>
      <c r="B29" s="98">
        <f>I5</f>
        <v>4633.6000000000004</v>
      </c>
      <c r="C29" s="25">
        <f t="shared" si="0"/>
        <v>347.52000000000004</v>
      </c>
      <c r="D29" s="126">
        <f t="shared" si="1"/>
        <v>115.84000000000002</v>
      </c>
      <c r="E29" s="97">
        <f t="shared" si="4"/>
        <v>463.36000000000007</v>
      </c>
      <c r="F29" s="27">
        <v>955.91</v>
      </c>
      <c r="G29" s="27">
        <v>0</v>
      </c>
      <c r="H29" s="56"/>
      <c r="I29" s="56"/>
      <c r="J29" s="56"/>
      <c r="K29" s="57"/>
      <c r="L29" s="57"/>
      <c r="M29" s="57"/>
      <c r="N29" s="57"/>
      <c r="R29" s="14">
        <f t="shared" si="3"/>
        <v>23856.959999999999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85721.660000000033</v>
      </c>
      <c r="C30" s="59">
        <f t="shared" si="5"/>
        <v>6429.1100000000024</v>
      </c>
      <c r="D30" s="94">
        <f t="shared" si="5"/>
        <v>2143.0399999999995</v>
      </c>
      <c r="E30" s="94">
        <f t="shared" si="4"/>
        <v>8572.1500000000015</v>
      </c>
      <c r="F30" s="59">
        <f t="shared" si="5"/>
        <v>14338.65</v>
      </c>
      <c r="G30" s="59">
        <f t="shared" si="5"/>
        <v>0</v>
      </c>
      <c r="H30" s="61"/>
      <c r="I30" s="62"/>
      <c r="J30" s="61"/>
      <c r="K30" s="57"/>
      <c r="L30" s="57"/>
      <c r="M30" s="57"/>
      <c r="N30" s="57"/>
      <c r="R30" s="14">
        <f t="shared" si="3"/>
        <v>23856.959999999999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8601.1099999999988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23856.959999999999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23856.959999999999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6429.1245000000026</v>
      </c>
      <c r="D33" s="31">
        <f>B30*0.025</f>
        <v>2143.0415000000007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14297.859999999999</v>
      </c>
      <c r="S33" s="23">
        <v>40096</v>
      </c>
      <c r="T33"/>
      <c r="U33"/>
      <c r="V33"/>
    </row>
    <row r="34" spans="1:22" ht="15">
      <c r="A34"/>
      <c r="B34" s="31">
        <f>B33-C30</f>
        <v>1.4500000000225555E-2</v>
      </c>
      <c r="C34" s="5" t="s">
        <v>119</v>
      </c>
      <c r="D34" s="31">
        <f>D33-D30</f>
        <v>1.5000000012150849E-3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13341.949999999999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12386.039999999999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11430.13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10474.219999999999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9518.31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8">
    <tabColor rgb="FFFF0000"/>
  </sheetPr>
  <dimension ref="A1:WVS48"/>
  <sheetViews>
    <sheetView topLeftCell="A8" zoomScale="85" zoomScaleNormal="85" workbookViewId="0">
      <selection activeCell="E47" sqref="E4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80</v>
      </c>
      <c r="C1" s="207"/>
      <c r="E1" s="1" t="s">
        <v>1</v>
      </c>
      <c r="F1" s="2">
        <v>9</v>
      </c>
      <c r="G1" s="2"/>
      <c r="H1" s="2"/>
      <c r="I1" s="3" t="s">
        <v>2</v>
      </c>
      <c r="J1" s="4">
        <v>35569</v>
      </c>
    </row>
    <row r="2" spans="1:20" ht="15">
      <c r="A2" s="1" t="s">
        <v>4</v>
      </c>
      <c r="B2" s="208">
        <v>231867549</v>
      </c>
      <c r="C2" s="208"/>
      <c r="D2"/>
      <c r="E2" s="6"/>
      <c r="G2" s="6"/>
      <c r="H2" s="6"/>
      <c r="I2" s="3" t="s">
        <v>5</v>
      </c>
      <c r="J2" s="4">
        <v>20872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99">
        <v>161223.20000000001</v>
      </c>
      <c r="K3" s="49"/>
      <c r="L3" s="14">
        <f>-SUM(C30+D30+E30+F30)</f>
        <v>-39047.882222222208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16">
        <f>J3/F1</f>
        <v>17913.68888888889</v>
      </c>
      <c r="K4" s="49"/>
      <c r="L4" s="19">
        <f>SUM(L2:L3)</f>
        <v>18952.117777777792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99">
        <f>J4/2</f>
        <v>8956.8444444444449</v>
      </c>
      <c r="K5" s="49"/>
      <c r="O5" s="14">
        <f>-D30</f>
        <v>-4880.9844444444443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21119.015555555554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18952.117777777792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25452.117777777792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21119.015555555554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21119.015555555554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21119.015555555554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21119.015555555554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21119.015555555554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21119.015555555554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21119.015555555554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21119.015555555554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21119.015555555554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21119.015555555554</v>
      </c>
      <c r="P23" s="23">
        <v>40673</v>
      </c>
      <c r="R23" s="31"/>
      <c r="U23" s="31"/>
    </row>
    <row r="24" spans="1:22">
      <c r="A24" s="23">
        <v>40096</v>
      </c>
      <c r="B24" s="98">
        <v>150455.09</v>
      </c>
      <c r="C24" s="25">
        <v>11284.14</v>
      </c>
      <c r="D24" s="25">
        <v>3761.36</v>
      </c>
      <c r="E24" s="26">
        <v>11284.14</v>
      </c>
      <c r="F24" s="25">
        <v>3761.36</v>
      </c>
      <c r="G24" s="27">
        <v>20844.04</v>
      </c>
      <c r="H24" s="27">
        <v>0</v>
      </c>
      <c r="I24" s="53"/>
      <c r="J24" s="53"/>
      <c r="K24" s="53"/>
      <c r="O24" s="14">
        <f t="shared" si="4"/>
        <v>21119.015555555554</v>
      </c>
      <c r="P24" s="23">
        <v>40688</v>
      </c>
      <c r="R24" s="31"/>
      <c r="U24" s="31"/>
    </row>
    <row r="25" spans="1:22">
      <c r="A25" s="23">
        <v>40111</v>
      </c>
      <c r="B25" s="98">
        <f>J5</f>
        <v>8956.8444444444449</v>
      </c>
      <c r="C25" s="25">
        <f t="shared" si="0"/>
        <v>671.76333333333332</v>
      </c>
      <c r="D25" s="25">
        <f t="shared" si="1"/>
        <v>223.92111111111114</v>
      </c>
      <c r="E25" s="26">
        <f t="shared" si="2"/>
        <v>671.76333333333332</v>
      </c>
      <c r="F25" s="25">
        <f t="shared" si="3"/>
        <v>223.92111111111114</v>
      </c>
      <c r="G25" s="27">
        <v>1170.68</v>
      </c>
      <c r="H25" s="27">
        <v>0</v>
      </c>
      <c r="I25" s="54"/>
      <c r="J25" s="55"/>
      <c r="K25" s="54"/>
      <c r="O25" s="14">
        <f t="shared" si="4"/>
        <v>21119.015555555554</v>
      </c>
      <c r="P25" s="23">
        <v>40704</v>
      </c>
      <c r="R25" s="31"/>
    </row>
    <row r="26" spans="1:22">
      <c r="A26" s="23">
        <v>40127</v>
      </c>
      <c r="B26" s="98">
        <f>J5</f>
        <v>8956.8444444444449</v>
      </c>
      <c r="C26" s="25">
        <f t="shared" si="0"/>
        <v>671.76333333333332</v>
      </c>
      <c r="D26" s="153">
        <v>0</v>
      </c>
      <c r="E26" s="26">
        <f t="shared" si="2"/>
        <v>671.76333333333332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21119.015555555554</v>
      </c>
      <c r="P26" s="23">
        <v>40719</v>
      </c>
      <c r="R26" s="31"/>
    </row>
    <row r="27" spans="1:22" ht="15" customHeight="1">
      <c r="A27" s="23">
        <v>40142</v>
      </c>
      <c r="B27" s="98">
        <f>J5</f>
        <v>8956.8444444444449</v>
      </c>
      <c r="C27" s="25">
        <f t="shared" si="0"/>
        <v>671.76333333333332</v>
      </c>
      <c r="D27" s="25">
        <f t="shared" si="1"/>
        <v>223.92111111111114</v>
      </c>
      <c r="E27" s="26">
        <f t="shared" si="2"/>
        <v>671.76333333333332</v>
      </c>
      <c r="F27" s="25">
        <f t="shared" si="3"/>
        <v>223.92111111111114</v>
      </c>
      <c r="G27" s="134">
        <v>-895.7</v>
      </c>
      <c r="H27" s="27">
        <v>0</v>
      </c>
      <c r="I27" s="56"/>
      <c r="J27" s="56"/>
      <c r="K27" s="56"/>
      <c r="O27" s="14">
        <f t="shared" si="4"/>
        <v>21119.015555555554</v>
      </c>
      <c r="P27" s="23">
        <v>40369</v>
      </c>
      <c r="R27" s="31"/>
    </row>
    <row r="28" spans="1:22">
      <c r="A28" s="23">
        <v>40157</v>
      </c>
      <c r="B28" s="98">
        <f>J5</f>
        <v>8956.8444444444449</v>
      </c>
      <c r="C28" s="25">
        <f t="shared" si="0"/>
        <v>671.76333333333332</v>
      </c>
      <c r="D28" s="135">
        <f>(B28*0.025)+223.94</f>
        <v>447.86111111111114</v>
      </c>
      <c r="E28" s="26">
        <f t="shared" si="2"/>
        <v>671.76333333333332</v>
      </c>
      <c r="F28" s="139">
        <f>(B28*0.025)+223.94</f>
        <v>447.86111111111114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21119.015555555554</v>
      </c>
      <c r="P28" s="23">
        <v>40384</v>
      </c>
      <c r="R28" s="89"/>
    </row>
    <row r="29" spans="1:22" ht="13.5" thickBot="1">
      <c r="A29" s="23">
        <v>39441</v>
      </c>
      <c r="B29" s="98">
        <f>J5</f>
        <v>8956.8444444444449</v>
      </c>
      <c r="C29" s="25">
        <f t="shared" si="0"/>
        <v>671.76333333333332</v>
      </c>
      <c r="D29" s="126">
        <f t="shared" si="1"/>
        <v>223.92111111111114</v>
      </c>
      <c r="E29" s="97">
        <f t="shared" si="2"/>
        <v>671.76333333333332</v>
      </c>
      <c r="F29" s="97">
        <f t="shared" si="3"/>
        <v>223.92111111111114</v>
      </c>
      <c r="G29" s="27">
        <v>0</v>
      </c>
      <c r="H29" s="27">
        <v>0</v>
      </c>
      <c r="I29" s="56"/>
      <c r="J29" s="56"/>
      <c r="K29" s="56"/>
      <c r="O29" s="14">
        <f t="shared" si="4"/>
        <v>21119.015555555554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195239.31222222216</v>
      </c>
      <c r="C30" s="59">
        <f t="shared" si="5"/>
        <v>14642.956666666661</v>
      </c>
      <c r="D30" s="94">
        <f t="shared" si="5"/>
        <v>4880.9844444444443</v>
      </c>
      <c r="E30" s="94">
        <f t="shared" si="5"/>
        <v>14642.956666666661</v>
      </c>
      <c r="F30" s="94">
        <f t="shared" si="5"/>
        <v>4880.9844444444443</v>
      </c>
      <c r="G30" s="59">
        <f t="shared" si="5"/>
        <v>21119.02</v>
      </c>
      <c r="H30" s="59">
        <f t="shared" si="5"/>
        <v>0</v>
      </c>
      <c r="I30" s="44"/>
      <c r="J30" s="132"/>
      <c r="K30" s="44"/>
      <c r="O30" s="14">
        <f t="shared" si="4"/>
        <v>21119.015555555554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14642.948416666661</v>
      </c>
      <c r="D31" s="160">
        <f>B30*0.025</f>
        <v>4880.9828055555545</v>
      </c>
      <c r="E31" s="64">
        <f>C31</f>
        <v>14642.948416666661</v>
      </c>
      <c r="F31" s="64">
        <f>D31</f>
        <v>4880.9828055555545</v>
      </c>
      <c r="G31" s="65"/>
      <c r="H31" s="65"/>
      <c r="I31" s="44"/>
      <c r="J31" s="132"/>
      <c r="K31" s="44"/>
      <c r="O31" s="14">
        <f t="shared" si="4"/>
        <v>21119.015555555554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8.2500000007712515E-3</v>
      </c>
      <c r="D32" s="31">
        <f>D30-D31</f>
        <v>1.6388888898291043E-3</v>
      </c>
      <c r="E32" s="31">
        <f>E30-E31</f>
        <v>8.2500000007712515E-3</v>
      </c>
      <c r="F32" s="31">
        <f>F30-F31</f>
        <v>1.6388888898291043E-3</v>
      </c>
      <c r="G32" s="45"/>
      <c r="H32" s="45"/>
      <c r="I32" s="57"/>
      <c r="J32" s="57"/>
      <c r="K32" s="57"/>
      <c r="O32" s="14">
        <f t="shared" si="4"/>
        <v>21119.015555555554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274.975555555553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-895.70444444444706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-895.70444444444706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-4.4444444470173039E-3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-4.4444444470173039E-3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-4.4444444470173039E-3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65">
    <tabColor rgb="FFFF0000"/>
  </sheetPr>
  <dimension ref="A1:WVV48"/>
  <sheetViews>
    <sheetView zoomScale="85" zoomScaleNormal="85" workbookViewId="0">
      <selection activeCell="B6" sqref="B6:G29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7" t="s">
        <v>51</v>
      </c>
      <c r="C1" s="207"/>
      <c r="D1" s="1" t="s">
        <v>1</v>
      </c>
      <c r="E1" s="2">
        <v>12</v>
      </c>
      <c r="F1" s="2"/>
      <c r="G1" s="2"/>
      <c r="H1" s="3" t="s">
        <v>2</v>
      </c>
      <c r="I1" s="4">
        <v>41091</v>
      </c>
      <c r="L1" s="210" t="s">
        <v>3</v>
      </c>
      <c r="M1" s="210"/>
      <c r="N1"/>
      <c r="T1"/>
      <c r="U1"/>
      <c r="V1"/>
    </row>
    <row r="2" spans="1:25" ht="15">
      <c r="A2" s="1" t="s">
        <v>4</v>
      </c>
      <c r="B2" s="208">
        <v>436782257</v>
      </c>
      <c r="C2" s="208"/>
      <c r="E2" s="6"/>
      <c r="F2" s="6"/>
      <c r="G2" s="6"/>
      <c r="H2" s="3" t="s">
        <v>5</v>
      </c>
      <c r="I2" s="4">
        <v>21633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7"/>
      <c r="W2" s="207"/>
      <c r="X2" s="207"/>
      <c r="Y2" s="207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">
        <v>445000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-58000</v>
      </c>
      <c r="R3" s="14">
        <v>0</v>
      </c>
      <c r="S3" s="15" t="s">
        <v>14</v>
      </c>
      <c r="T3"/>
      <c r="U3" s="16"/>
      <c r="V3" s="208"/>
      <c r="W3" s="208"/>
      <c r="X3" s="208"/>
      <c r="Y3" s="208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37083.333333333336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18541.666666666668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-7250.03</v>
      </c>
      <c r="S5" s="15" t="s">
        <v>29</v>
      </c>
      <c r="T5"/>
      <c r="U5" s="16"/>
    </row>
    <row r="6" spans="1:25" ht="15.75" thickBot="1">
      <c r="A6" s="23">
        <v>40553</v>
      </c>
      <c r="B6" s="144">
        <v>0</v>
      </c>
      <c r="C6" s="145">
        <f>B6*0.075</f>
        <v>0</v>
      </c>
      <c r="D6" s="145">
        <f>B6*0.025</f>
        <v>0</v>
      </c>
      <c r="E6" s="146">
        <f>B6*0.1</f>
        <v>0</v>
      </c>
      <c r="F6" s="147">
        <v>0</v>
      </c>
      <c r="G6" s="14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18749.97</v>
      </c>
      <c r="S6" s="32" t="s">
        <v>93</v>
      </c>
      <c r="T6"/>
      <c r="U6" s="16"/>
    </row>
    <row r="7" spans="1:25" ht="15.75" thickBot="1">
      <c r="A7" s="23">
        <v>40568</v>
      </c>
      <c r="B7" s="144">
        <v>0</v>
      </c>
      <c r="C7" s="145">
        <f t="shared" ref="C7:C23" si="0">B7*0.075</f>
        <v>0</v>
      </c>
      <c r="D7" s="145">
        <f t="shared" ref="D7:D23" si="1">B7*0.025</f>
        <v>0</v>
      </c>
      <c r="E7" s="146">
        <f t="shared" ref="E7:E23" si="2">B7*0.1</f>
        <v>0</v>
      </c>
      <c r="F7" s="147">
        <v>0</v>
      </c>
      <c r="G7" s="14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144">
        <v>0</v>
      </c>
      <c r="C8" s="145">
        <f t="shared" si="0"/>
        <v>0</v>
      </c>
      <c r="D8" s="145">
        <f t="shared" si="1"/>
        <v>0</v>
      </c>
      <c r="E8" s="146">
        <f t="shared" si="2"/>
        <v>0</v>
      </c>
      <c r="F8" s="147">
        <v>0</v>
      </c>
      <c r="G8" s="14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0</v>
      </c>
      <c r="S8" s="34" t="s">
        <v>101</v>
      </c>
      <c r="T8"/>
      <c r="U8" s="16"/>
    </row>
    <row r="9" spans="1:25" ht="15">
      <c r="A9" s="23">
        <v>40599</v>
      </c>
      <c r="B9" s="144">
        <v>0</v>
      </c>
      <c r="C9" s="145">
        <f t="shared" si="0"/>
        <v>0</v>
      </c>
      <c r="D9" s="145">
        <f t="shared" si="1"/>
        <v>0</v>
      </c>
      <c r="E9" s="146">
        <f t="shared" si="2"/>
        <v>0</v>
      </c>
      <c r="F9" s="147">
        <v>0</v>
      </c>
      <c r="G9" s="14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144">
        <v>0</v>
      </c>
      <c r="C10" s="145">
        <f t="shared" si="0"/>
        <v>0</v>
      </c>
      <c r="D10" s="145">
        <f t="shared" si="1"/>
        <v>0</v>
      </c>
      <c r="E10" s="146">
        <f t="shared" si="2"/>
        <v>0</v>
      </c>
      <c r="F10" s="147">
        <v>0</v>
      </c>
      <c r="G10" s="14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144">
        <v>0</v>
      </c>
      <c r="C11" s="145">
        <f t="shared" si="0"/>
        <v>0</v>
      </c>
      <c r="D11" s="145">
        <f t="shared" si="1"/>
        <v>0</v>
      </c>
      <c r="E11" s="146">
        <f t="shared" si="2"/>
        <v>0</v>
      </c>
      <c r="F11" s="147">
        <v>0</v>
      </c>
      <c r="G11" s="14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T11"/>
      <c r="U11" s="41"/>
      <c r="V11"/>
    </row>
    <row r="12" spans="1:25" ht="15.75" thickBot="1">
      <c r="A12" s="23">
        <v>40643</v>
      </c>
      <c r="B12" s="144">
        <v>0</v>
      </c>
      <c r="C12" s="145">
        <f t="shared" si="0"/>
        <v>0</v>
      </c>
      <c r="D12" s="145">
        <f t="shared" si="1"/>
        <v>0</v>
      </c>
      <c r="E12" s="146">
        <f t="shared" si="2"/>
        <v>0</v>
      </c>
      <c r="F12" s="147">
        <v>0</v>
      </c>
      <c r="G12" s="14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144">
        <v>0</v>
      </c>
      <c r="C13" s="145">
        <f t="shared" si="0"/>
        <v>0</v>
      </c>
      <c r="D13" s="145">
        <f t="shared" si="1"/>
        <v>0</v>
      </c>
      <c r="E13" s="146">
        <f t="shared" si="2"/>
        <v>0</v>
      </c>
      <c r="F13" s="147">
        <v>0</v>
      </c>
      <c r="G13" s="14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144">
        <v>0</v>
      </c>
      <c r="C14" s="145">
        <f t="shared" si="0"/>
        <v>0</v>
      </c>
      <c r="D14" s="145">
        <f t="shared" si="1"/>
        <v>0</v>
      </c>
      <c r="E14" s="146">
        <f t="shared" si="2"/>
        <v>0</v>
      </c>
      <c r="F14" s="147">
        <v>0</v>
      </c>
      <c r="G14" s="147">
        <v>0</v>
      </c>
      <c r="K14" s="211" t="e">
        <f>IF(#REF!&gt;=0,"Total&lt;45K eligible for SRA","&gt;45K Not eligible for SRA")</f>
        <v>#REF!</v>
      </c>
      <c r="L14" s="212"/>
      <c r="M14" s="213"/>
      <c r="O14" s="31"/>
      <c r="P14" s="41"/>
      <c r="R14" s="14">
        <f>IF(R11&lt;R6,R11,R6)</f>
        <v>6500</v>
      </c>
      <c r="S14" s="42" t="s">
        <v>31</v>
      </c>
      <c r="T14"/>
      <c r="U14" s="31"/>
      <c r="V14" s="31"/>
    </row>
    <row r="15" spans="1:25" ht="15">
      <c r="A15" s="23">
        <v>40688</v>
      </c>
      <c r="B15" s="144">
        <v>0</v>
      </c>
      <c r="C15" s="145">
        <f t="shared" si="0"/>
        <v>0</v>
      </c>
      <c r="D15" s="145">
        <f t="shared" si="1"/>
        <v>0</v>
      </c>
      <c r="E15" s="146">
        <f t="shared" si="2"/>
        <v>0</v>
      </c>
      <c r="F15" s="147">
        <v>0</v>
      </c>
      <c r="G15" s="147">
        <v>0</v>
      </c>
      <c r="I15"/>
      <c r="J15"/>
      <c r="K15" s="214" t="e">
        <v>#REF!</v>
      </c>
      <c r="L15" s="215"/>
      <c r="M15" s="216"/>
      <c r="N15"/>
      <c r="O15" s="44"/>
      <c r="P15" s="41"/>
      <c r="R15" s="14">
        <f>R14-F6</f>
        <v>6500</v>
      </c>
      <c r="S15" s="23">
        <v>40553</v>
      </c>
      <c r="T15"/>
      <c r="U15" s="31"/>
      <c r="V15"/>
    </row>
    <row r="16" spans="1:25" ht="15">
      <c r="A16" s="23">
        <v>40704</v>
      </c>
      <c r="B16" s="144">
        <v>0</v>
      </c>
      <c r="C16" s="145">
        <f t="shared" si="0"/>
        <v>0</v>
      </c>
      <c r="D16" s="145">
        <f t="shared" si="1"/>
        <v>0</v>
      </c>
      <c r="E16" s="146">
        <f t="shared" si="2"/>
        <v>0</v>
      </c>
      <c r="F16" s="147">
        <v>0</v>
      </c>
      <c r="G16" s="14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6500</v>
      </c>
      <c r="S16" s="23">
        <v>40568</v>
      </c>
      <c r="T16"/>
      <c r="U16" s="31"/>
      <c r="V16"/>
    </row>
    <row r="17" spans="1:25" ht="15">
      <c r="A17" s="23">
        <v>40719</v>
      </c>
      <c r="B17" s="144">
        <v>0</v>
      </c>
      <c r="C17" s="145">
        <f t="shared" si="0"/>
        <v>0</v>
      </c>
      <c r="D17" s="145">
        <f t="shared" si="1"/>
        <v>0</v>
      </c>
      <c r="E17" s="146">
        <f t="shared" si="2"/>
        <v>0</v>
      </c>
      <c r="F17" s="147">
        <v>0</v>
      </c>
      <c r="G17" s="14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6500</v>
      </c>
      <c r="S17" s="23">
        <v>40584</v>
      </c>
      <c r="T17"/>
      <c r="U17" s="31"/>
      <c r="V17"/>
    </row>
    <row r="18" spans="1:25" ht="15">
      <c r="A18" s="23">
        <v>40369</v>
      </c>
      <c r="B18" s="144">
        <v>0</v>
      </c>
      <c r="C18" s="145">
        <f t="shared" si="0"/>
        <v>0</v>
      </c>
      <c r="D18" s="145">
        <f t="shared" si="1"/>
        <v>0</v>
      </c>
      <c r="E18" s="146">
        <f t="shared" si="2"/>
        <v>0</v>
      </c>
      <c r="F18" s="147">
        <v>0</v>
      </c>
      <c r="G18" s="147">
        <v>0</v>
      </c>
      <c r="I18"/>
      <c r="J18"/>
      <c r="K18" s="45"/>
      <c r="L18" s="45"/>
      <c r="M18" s="45"/>
      <c r="N18" s="45"/>
      <c r="R18" s="14">
        <f t="shared" si="3"/>
        <v>6500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144">
        <v>0</v>
      </c>
      <c r="C19" s="145">
        <f t="shared" si="0"/>
        <v>0</v>
      </c>
      <c r="D19" s="145">
        <f t="shared" si="1"/>
        <v>0</v>
      </c>
      <c r="E19" s="146">
        <f t="shared" si="2"/>
        <v>0</v>
      </c>
      <c r="F19" s="147">
        <v>0</v>
      </c>
      <c r="G19" s="147">
        <v>0</v>
      </c>
      <c r="I19"/>
      <c r="J19"/>
      <c r="K19" s="49"/>
      <c r="L19"/>
      <c r="M19"/>
      <c r="N19"/>
      <c r="R19" s="14">
        <f t="shared" si="3"/>
        <v>6500</v>
      </c>
      <c r="S19" s="23">
        <v>40612</v>
      </c>
      <c r="T19"/>
      <c r="U19"/>
      <c r="V19"/>
    </row>
    <row r="20" spans="1:25" ht="15">
      <c r="A20" s="23">
        <v>40400</v>
      </c>
      <c r="B20" s="144">
        <v>0</v>
      </c>
      <c r="C20" s="145">
        <f t="shared" si="0"/>
        <v>0</v>
      </c>
      <c r="D20" s="145">
        <f t="shared" si="1"/>
        <v>0</v>
      </c>
      <c r="E20" s="146">
        <f t="shared" si="2"/>
        <v>0</v>
      </c>
      <c r="F20" s="147">
        <v>0</v>
      </c>
      <c r="G20" s="147">
        <v>0</v>
      </c>
      <c r="H20" s="50"/>
      <c r="I20" s="45"/>
      <c r="J20" s="45"/>
      <c r="K20"/>
      <c r="L20"/>
      <c r="M20"/>
      <c r="N20"/>
      <c r="R20" s="14">
        <f t="shared" si="3"/>
        <v>6500</v>
      </c>
      <c r="S20" s="23">
        <v>40627</v>
      </c>
      <c r="T20"/>
      <c r="U20"/>
      <c r="V20"/>
    </row>
    <row r="21" spans="1:25" ht="15">
      <c r="A21" s="23">
        <v>40415</v>
      </c>
      <c r="B21" s="144">
        <v>0</v>
      </c>
      <c r="C21" s="145">
        <f t="shared" si="0"/>
        <v>0</v>
      </c>
      <c r="D21" s="145">
        <f t="shared" si="1"/>
        <v>0</v>
      </c>
      <c r="E21" s="146">
        <f t="shared" si="2"/>
        <v>0</v>
      </c>
      <c r="F21" s="147">
        <v>0</v>
      </c>
      <c r="G21" s="14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6500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144">
        <v>0</v>
      </c>
      <c r="C22" s="145">
        <f t="shared" si="0"/>
        <v>0</v>
      </c>
      <c r="D22" s="145">
        <f t="shared" si="1"/>
        <v>0</v>
      </c>
      <c r="E22" s="146">
        <f t="shared" si="2"/>
        <v>0</v>
      </c>
      <c r="F22" s="147">
        <v>0</v>
      </c>
      <c r="G22" s="14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6500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144">
        <v>0</v>
      </c>
      <c r="C23" s="145">
        <f t="shared" si="0"/>
        <v>0</v>
      </c>
      <c r="D23" s="145">
        <f t="shared" si="1"/>
        <v>0</v>
      </c>
      <c r="E23" s="146">
        <f t="shared" si="2"/>
        <v>0</v>
      </c>
      <c r="F23" s="147">
        <v>0</v>
      </c>
      <c r="G23" s="147">
        <v>0</v>
      </c>
      <c r="H23" s="53"/>
      <c r="I23" s="53"/>
      <c r="J23" s="53"/>
      <c r="L23"/>
      <c r="M23"/>
      <c r="N23"/>
      <c r="R23" s="14">
        <f t="shared" si="3"/>
        <v>6500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48">
        <v>333288.36</v>
      </c>
      <c r="C24" s="148">
        <v>20359.38</v>
      </c>
      <c r="D24" s="148">
        <v>6786.5</v>
      </c>
      <c r="E24" s="146">
        <f>20359.38+6786.5</f>
        <v>27145.88</v>
      </c>
      <c r="F24" s="148">
        <v>5145.7700000000004</v>
      </c>
      <c r="G24" s="148">
        <v>19788.5</v>
      </c>
      <c r="H24" s="53"/>
      <c r="I24" s="53"/>
      <c r="J24" s="53"/>
      <c r="K24" s="209"/>
      <c r="L24" s="209"/>
      <c r="M24" s="209"/>
      <c r="N24"/>
      <c r="R24" s="14">
        <f t="shared" si="3"/>
        <v>6500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144">
        <f>I5</f>
        <v>18541.666666666668</v>
      </c>
      <c r="C25" s="149">
        <f>(3708.24/2)*0.75</f>
        <v>1390.59</v>
      </c>
      <c r="D25" s="149">
        <f>(3708.24/2)*0.25</f>
        <v>463.53</v>
      </c>
      <c r="E25" s="150">
        <f t="shared" ref="E25:E30" si="4">C25+D25</f>
        <v>1854.12</v>
      </c>
      <c r="F25" s="147">
        <v>270.83</v>
      </c>
      <c r="G25" s="147">
        <v>1041.5</v>
      </c>
      <c r="H25" s="54"/>
      <c r="I25" s="55"/>
      <c r="J25" s="54"/>
      <c r="K25" s="209"/>
      <c r="L25" s="209"/>
      <c r="M25" s="209"/>
      <c r="N25"/>
      <c r="R25" s="14">
        <f t="shared" si="3"/>
        <v>6500</v>
      </c>
      <c r="S25" s="23">
        <v>40704</v>
      </c>
      <c r="T25"/>
      <c r="U25" s="31"/>
      <c r="V25"/>
    </row>
    <row r="26" spans="1:25" ht="15">
      <c r="A26" s="23">
        <v>40127</v>
      </c>
      <c r="B26" s="144">
        <f>I5</f>
        <v>18541.666666666668</v>
      </c>
      <c r="C26" s="149">
        <v>0</v>
      </c>
      <c r="D26" s="149">
        <v>0</v>
      </c>
      <c r="E26" s="150">
        <f t="shared" si="4"/>
        <v>0</v>
      </c>
      <c r="F26" s="147">
        <v>270.83</v>
      </c>
      <c r="G26" s="147">
        <v>1041.5</v>
      </c>
      <c r="H26" s="50"/>
      <c r="I26" s="45"/>
      <c r="J26" s="45"/>
      <c r="K26"/>
      <c r="L26"/>
      <c r="M26"/>
      <c r="N26"/>
      <c r="R26" s="14">
        <f t="shared" si="3"/>
        <v>6500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144">
        <f>I5</f>
        <v>18541.666666666668</v>
      </c>
      <c r="C27" s="149">
        <v>0</v>
      </c>
      <c r="D27" s="149">
        <v>0</v>
      </c>
      <c r="E27" s="150">
        <f t="shared" si="4"/>
        <v>0</v>
      </c>
      <c r="F27" s="147">
        <v>270.83</v>
      </c>
      <c r="G27" s="147">
        <v>1041.5</v>
      </c>
      <c r="H27" s="56"/>
      <c r="I27" s="56"/>
      <c r="J27" s="56"/>
      <c r="K27"/>
      <c r="L27"/>
      <c r="M27"/>
      <c r="N27"/>
      <c r="R27" s="14">
        <f t="shared" si="3"/>
        <v>6500</v>
      </c>
      <c r="S27" s="23">
        <v>40369</v>
      </c>
      <c r="T27"/>
      <c r="U27" s="31"/>
      <c r="V27"/>
    </row>
    <row r="28" spans="1:25" ht="15">
      <c r="A28" s="23">
        <v>40157</v>
      </c>
      <c r="B28" s="144">
        <f>I5</f>
        <v>18541.666666666668</v>
      </c>
      <c r="C28" s="149">
        <v>0</v>
      </c>
      <c r="D28" s="149">
        <v>0</v>
      </c>
      <c r="E28" s="150">
        <f t="shared" si="4"/>
        <v>0</v>
      </c>
      <c r="F28" s="147">
        <v>270.83</v>
      </c>
      <c r="G28" s="147">
        <v>1041.5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6500</v>
      </c>
      <c r="S28" s="23">
        <v>40384</v>
      </c>
      <c r="T28"/>
      <c r="U28" s="89"/>
      <c r="V28"/>
    </row>
    <row r="29" spans="1:25" ht="15.75" thickBot="1">
      <c r="A29" s="23">
        <v>39441</v>
      </c>
      <c r="B29" s="144">
        <f>I5</f>
        <v>18541.666666666668</v>
      </c>
      <c r="C29" s="149">
        <v>0</v>
      </c>
      <c r="D29" s="151">
        <v>0</v>
      </c>
      <c r="E29" s="152">
        <f t="shared" si="4"/>
        <v>0</v>
      </c>
      <c r="F29" s="147">
        <v>270.83</v>
      </c>
      <c r="G29" s="147">
        <v>1041.5</v>
      </c>
      <c r="H29" s="56"/>
      <c r="I29" s="56"/>
      <c r="J29" s="56"/>
      <c r="K29" s="57"/>
      <c r="L29" s="57"/>
      <c r="M29" s="57"/>
      <c r="N29" s="57"/>
      <c r="R29" s="14">
        <f t="shared" si="3"/>
        <v>6500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425996.69333333342</v>
      </c>
      <c r="C30" s="59">
        <f t="shared" si="5"/>
        <v>21749.97</v>
      </c>
      <c r="D30" s="94">
        <f t="shared" si="5"/>
        <v>7250.03</v>
      </c>
      <c r="E30" s="94">
        <f t="shared" si="4"/>
        <v>29000</v>
      </c>
      <c r="F30" s="59">
        <f t="shared" si="5"/>
        <v>6499.92</v>
      </c>
      <c r="G30" s="59">
        <f t="shared" si="5"/>
        <v>24996</v>
      </c>
      <c r="H30" s="61"/>
      <c r="I30" s="62" t="s">
        <v>123</v>
      </c>
      <c r="J30" s="61"/>
      <c r="K30" s="57"/>
      <c r="L30" s="57"/>
      <c r="M30" s="57"/>
      <c r="N30" s="57"/>
      <c r="R30" s="14">
        <f t="shared" si="3"/>
        <v>6500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29000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6500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6500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31949.752000000004</v>
      </c>
      <c r="D33" s="31">
        <f>B30*0.025</f>
        <v>10649.917333333337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1354.2299999999996</v>
      </c>
      <c r="S33" s="23">
        <v>40096</v>
      </c>
      <c r="T33"/>
      <c r="U33"/>
      <c r="V33"/>
    </row>
    <row r="34" spans="1:22" ht="15">
      <c r="A34"/>
      <c r="B34" s="31">
        <f>B33-C30</f>
        <v>10199.782000000003</v>
      </c>
      <c r="C34" s="5" t="s">
        <v>119</v>
      </c>
      <c r="D34" s="31">
        <f>D33-D30</f>
        <v>3399.8873333333368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1083.3999999999996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812.56999999999971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541.73999999999978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270.9099999999998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7.9999999999813554E-2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1">
    <tabColor rgb="FF00B050"/>
  </sheetPr>
  <dimension ref="A1"/>
  <sheetViews>
    <sheetView workbookViewId="0">
      <selection activeCell="J34" sqref="J34"/>
    </sheetView>
  </sheetViews>
  <sheetFormatPr defaultRowHeight="15"/>
  <sheetData>
    <row r="1" spans="1:1">
      <c r="A1" t="s">
        <v>121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25">
    <tabColor rgb="FF7030A0"/>
  </sheetPr>
  <dimension ref="A1:WVS48"/>
  <sheetViews>
    <sheetView zoomScale="85" zoomScaleNormal="85" workbookViewId="0">
      <selection activeCell="J49" sqref="J49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5.75" thickBot="1">
      <c r="A1" s="1" t="s">
        <v>0</v>
      </c>
      <c r="B1" s="185" t="s">
        <v>142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/>
    </row>
    <row r="2" spans="1:20" ht="15">
      <c r="A2" s="1" t="s">
        <v>4</v>
      </c>
      <c r="B2" s="185">
        <v>11208539</v>
      </c>
      <c r="C2" s="128"/>
      <c r="D2" s="1"/>
      <c r="E2" s="6"/>
      <c r="H2" s="6"/>
      <c r="I2" s="3" t="s">
        <v>5</v>
      </c>
      <c r="J2" s="73">
        <v>33927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74" t="s">
        <v>8</v>
      </c>
      <c r="E3" s="11" t="s">
        <v>9</v>
      </c>
      <c r="F3" s="174" t="s">
        <v>9</v>
      </c>
      <c r="G3" s="11" t="s">
        <v>10</v>
      </c>
      <c r="H3" s="11" t="s">
        <v>53</v>
      </c>
      <c r="I3" s="3" t="s">
        <v>11</v>
      </c>
      <c r="J3" s="36">
        <f>J4*9</f>
        <v>41650.019999999997</v>
      </c>
      <c r="K3" s="49"/>
      <c r="L3" s="14">
        <f>-SUM(C30+D30+E30+F30)</f>
        <v>-4564.9470000000001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75" t="s">
        <v>16</v>
      </c>
      <c r="E4" s="13" t="s">
        <v>16</v>
      </c>
      <c r="F4" s="175" t="s">
        <v>16</v>
      </c>
      <c r="G4" s="13" t="s">
        <v>16</v>
      </c>
      <c r="H4" s="13" t="s">
        <v>16</v>
      </c>
      <c r="I4" s="3" t="s">
        <v>17</v>
      </c>
      <c r="J4" s="121">
        <v>4627.78</v>
      </c>
      <c r="K4" s="49"/>
      <c r="L4" s="19">
        <f>SUM(L2:L3)</f>
        <v>53435.053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131</v>
      </c>
      <c r="D5" s="176" t="s">
        <v>127</v>
      </c>
      <c r="E5" s="21" t="s">
        <v>131</v>
      </c>
      <c r="F5" s="176" t="s">
        <v>127</v>
      </c>
      <c r="G5" s="21">
        <v>19500</v>
      </c>
      <c r="H5" s="21">
        <v>19500</v>
      </c>
      <c r="I5" s="3" t="s">
        <v>26</v>
      </c>
      <c r="J5" s="35">
        <f>J4/2</f>
        <v>2313.89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177">
        <v>0</v>
      </c>
      <c r="E6" s="26">
        <f>B6*0.075</f>
        <v>0</v>
      </c>
      <c r="F6" s="177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5" si="0">B7*0.075</f>
        <v>0</v>
      </c>
      <c r="D7" s="177">
        <v>0</v>
      </c>
      <c r="E7" s="26">
        <f t="shared" ref="E7:E25" si="1">B7*0.075</f>
        <v>0</v>
      </c>
      <c r="F7" s="177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177">
        <v>0</v>
      </c>
      <c r="E8" s="26">
        <f t="shared" si="1"/>
        <v>0</v>
      </c>
      <c r="F8" s="177">
        <v>0</v>
      </c>
      <c r="G8" s="27">
        <v>0</v>
      </c>
      <c r="H8" s="27">
        <v>0</v>
      </c>
      <c r="J8" s="16"/>
      <c r="K8" s="28"/>
      <c r="L8" s="31"/>
      <c r="O8" s="33">
        <f>L4</f>
        <v>53435.053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177">
        <v>0</v>
      </c>
      <c r="E9" s="26">
        <f t="shared" si="1"/>
        <v>0</v>
      </c>
      <c r="F9" s="177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177">
        <v>0</v>
      </c>
      <c r="E10" s="26">
        <f t="shared" si="1"/>
        <v>0</v>
      </c>
      <c r="F10" s="177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177">
        <v>0</v>
      </c>
      <c r="E11" s="26">
        <f t="shared" si="1"/>
        <v>0</v>
      </c>
      <c r="F11" s="177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59935.053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177">
        <v>0</v>
      </c>
      <c r="E12" s="26">
        <f t="shared" si="1"/>
        <v>0</v>
      </c>
      <c r="F12" s="177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177">
        <v>0</v>
      </c>
      <c r="E13" s="26">
        <f t="shared" si="1"/>
        <v>0</v>
      </c>
      <c r="F13" s="177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177">
        <v>0</v>
      </c>
      <c r="E14" s="26">
        <f t="shared" si="1"/>
        <v>0</v>
      </c>
      <c r="F14" s="177"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177">
        <v>0</v>
      </c>
      <c r="E15" s="26">
        <f t="shared" si="1"/>
        <v>0</v>
      </c>
      <c r="F15" s="177">
        <v>0</v>
      </c>
      <c r="G15" s="27">
        <v>0</v>
      </c>
      <c r="H15" s="27">
        <v>0</v>
      </c>
      <c r="L15" s="44"/>
      <c r="M15" s="41"/>
      <c r="O15" s="14">
        <f t="shared" ref="O15:O38" si="2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177">
        <v>0</v>
      </c>
      <c r="E16" s="26">
        <f t="shared" si="1"/>
        <v>0</v>
      </c>
      <c r="F16" s="177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177">
        <v>0</v>
      </c>
      <c r="E17" s="26">
        <f t="shared" si="1"/>
        <v>0</v>
      </c>
      <c r="F17" s="177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177">
        <v>0</v>
      </c>
      <c r="E18" s="26">
        <f t="shared" si="1"/>
        <v>0</v>
      </c>
      <c r="F18" s="177">
        <v>0</v>
      </c>
      <c r="G18" s="27">
        <v>0</v>
      </c>
      <c r="H18" s="27">
        <v>0</v>
      </c>
      <c r="O18" s="14">
        <f t="shared" si="2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177">
        <v>0</v>
      </c>
      <c r="E19" s="26">
        <f t="shared" si="1"/>
        <v>0</v>
      </c>
      <c r="F19" s="177">
        <v>0</v>
      </c>
      <c r="G19" s="27">
        <v>0</v>
      </c>
      <c r="H19" s="27">
        <v>0</v>
      </c>
      <c r="O19" s="14">
        <f t="shared" si="2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177">
        <v>0</v>
      </c>
      <c r="E20" s="26">
        <f t="shared" si="1"/>
        <v>0</v>
      </c>
      <c r="F20" s="177">
        <v>0</v>
      </c>
      <c r="G20" s="27">
        <v>0</v>
      </c>
      <c r="H20" s="27">
        <v>0</v>
      </c>
      <c r="I20" s="50"/>
      <c r="J20" s="45"/>
      <c r="K20" s="45"/>
      <c r="O20" s="14">
        <f t="shared" si="2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177">
        <v>0</v>
      </c>
      <c r="E21" s="26">
        <f t="shared" si="1"/>
        <v>0</v>
      </c>
      <c r="F21" s="177">
        <v>0</v>
      </c>
      <c r="G21" s="27">
        <v>0</v>
      </c>
      <c r="H21" s="27">
        <v>0</v>
      </c>
      <c r="I21" s="50"/>
      <c r="J21" s="51"/>
      <c r="K21" s="45"/>
      <c r="O21" s="14">
        <f t="shared" si="2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177">
        <v>0</v>
      </c>
      <c r="E22" s="26">
        <f t="shared" si="1"/>
        <v>0</v>
      </c>
      <c r="F22" s="177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177">
        <v>0</v>
      </c>
      <c r="E23" s="26">
        <f t="shared" si="1"/>
        <v>0</v>
      </c>
      <c r="F23" s="177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177">
        <v>0</v>
      </c>
      <c r="E24" s="26">
        <f t="shared" si="1"/>
        <v>0</v>
      </c>
      <c r="F24" s="177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177">
        <v>0</v>
      </c>
      <c r="E25" s="26">
        <f t="shared" si="1"/>
        <v>0</v>
      </c>
      <c r="F25" s="177">
        <v>0</v>
      </c>
      <c r="G25" s="27">
        <v>0</v>
      </c>
      <c r="H25" s="27">
        <v>0</v>
      </c>
      <c r="I25" s="54"/>
      <c r="J25" s="55"/>
      <c r="K25" s="54"/>
      <c r="O25" s="14">
        <f t="shared" si="2"/>
        <v>26000</v>
      </c>
      <c r="P25" s="23">
        <v>40704</v>
      </c>
      <c r="R25" s="31"/>
    </row>
    <row r="26" spans="1:22" ht="15">
      <c r="A26" s="23">
        <v>40127</v>
      </c>
      <c r="B26" s="182">
        <v>39208.39</v>
      </c>
      <c r="C26" s="183">
        <v>1935.39</v>
      </c>
      <c r="D26" s="184">
        <v>0</v>
      </c>
      <c r="E26" s="183">
        <v>1935.39</v>
      </c>
      <c r="F26" s="184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26000</v>
      </c>
      <c r="P26" s="23">
        <v>40719</v>
      </c>
      <c r="R26" s="31"/>
    </row>
    <row r="27" spans="1:22" ht="15" customHeight="1">
      <c r="A27" s="23">
        <v>40142</v>
      </c>
      <c r="B27" s="98">
        <f>$J$5</f>
        <v>2313.89</v>
      </c>
      <c r="C27" s="184">
        <f>($J$5*0.05)</f>
        <v>115.69450000000001</v>
      </c>
      <c r="D27" s="177">
        <v>0</v>
      </c>
      <c r="E27" s="184">
        <f>($J$5*0.05)</f>
        <v>115.69450000000001</v>
      </c>
      <c r="F27" s="177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26000</v>
      </c>
      <c r="P27" s="23">
        <v>40369</v>
      </c>
      <c r="R27" s="31"/>
    </row>
    <row r="28" spans="1:22" ht="15">
      <c r="A28" s="23">
        <v>40157</v>
      </c>
      <c r="B28" s="98">
        <f>$J$5</f>
        <v>2313.89</v>
      </c>
      <c r="C28" s="184">
        <f>($J$5*0.05)</f>
        <v>115.69450000000001</v>
      </c>
      <c r="D28" s="177">
        <v>0</v>
      </c>
      <c r="E28" s="184">
        <f>($J$5*0.05)</f>
        <v>115.69450000000001</v>
      </c>
      <c r="F28" s="177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26000</v>
      </c>
      <c r="P28" s="23">
        <v>40384</v>
      </c>
      <c r="R28" s="89"/>
    </row>
    <row r="29" spans="1:22" ht="15.75" thickBot="1">
      <c r="A29" s="23">
        <v>39441</v>
      </c>
      <c r="B29" s="98">
        <f>$J$5</f>
        <v>2313.89</v>
      </c>
      <c r="C29" s="184">
        <f>($J$5*0.05)</f>
        <v>115.69450000000001</v>
      </c>
      <c r="D29" s="177">
        <v>0</v>
      </c>
      <c r="E29" s="184">
        <f>($J$5*0.05)</f>
        <v>115.69450000000001</v>
      </c>
      <c r="F29" s="180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46150.06</v>
      </c>
      <c r="C30" s="59">
        <f t="shared" si="3"/>
        <v>2282.4735000000001</v>
      </c>
      <c r="D30" s="178">
        <f t="shared" si="3"/>
        <v>0</v>
      </c>
      <c r="E30" s="94">
        <f t="shared" si="3"/>
        <v>2282.4735000000001</v>
      </c>
      <c r="F30" s="178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B30*0.05</f>
        <v>2307.5030000000002</v>
      </c>
      <c r="D31" s="179">
        <v>0</v>
      </c>
      <c r="E31" s="64">
        <f>B30*0.05</f>
        <v>2307.5030000000002</v>
      </c>
      <c r="F31" s="181">
        <v>0</v>
      </c>
      <c r="G31" s="65"/>
      <c r="H31" s="65"/>
      <c r="I31" s="44"/>
      <c r="J31" s="132"/>
      <c r="K31" s="44"/>
      <c r="O31" s="14">
        <f t="shared" si="2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-25.029500000000098</v>
      </c>
      <c r="D32" s="70">
        <f>D30-D31</f>
        <v>0</v>
      </c>
      <c r="E32" s="31">
        <f>E30-E31</f>
        <v>-25.029500000000098</v>
      </c>
      <c r="F32" s="70">
        <f>F30-F31</f>
        <v>0</v>
      </c>
      <c r="G32" s="45"/>
      <c r="H32" s="45"/>
      <c r="I32" s="57"/>
      <c r="J32" s="57"/>
      <c r="K32" s="57"/>
      <c r="O32" s="14">
        <f t="shared" si="2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2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1">
    <tabColor rgb="FF7030A0"/>
  </sheetPr>
  <dimension ref="A1:WVV47"/>
  <sheetViews>
    <sheetView zoomScale="85" zoomScaleNormal="85" workbookViewId="0">
      <selection activeCell="I1" sqref="I1:I5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0" width="9.140625" style="5"/>
    <col min="21" max="21" width="9.42578125" style="5" bestFit="1" customWidth="1"/>
    <col min="22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9" customHeight="1" thickBot="1">
      <c r="A1" s="1" t="s">
        <v>0</v>
      </c>
      <c r="B1" s="207" t="s">
        <v>83</v>
      </c>
      <c r="C1" s="207"/>
      <c r="D1" s="127"/>
      <c r="E1" s="1" t="s">
        <v>1</v>
      </c>
      <c r="F1" s="2">
        <v>12</v>
      </c>
      <c r="G1" s="16"/>
      <c r="H1" s="3" t="s">
        <v>2</v>
      </c>
      <c r="I1" s="4">
        <v>42598</v>
      </c>
      <c r="L1" s="210" t="s">
        <v>3</v>
      </c>
      <c r="M1" s="210"/>
      <c r="N1"/>
      <c r="O1"/>
      <c r="P1"/>
      <c r="Q1"/>
      <c r="R1"/>
      <c r="S1"/>
      <c r="T1"/>
      <c r="U1"/>
      <c r="V1"/>
    </row>
    <row r="2" spans="1:23" ht="15">
      <c r="A2" s="1" t="s">
        <v>4</v>
      </c>
      <c r="B2" s="208">
        <v>225275263</v>
      </c>
      <c r="C2" s="208"/>
      <c r="D2" s="128"/>
      <c r="E2"/>
      <c r="F2" s="6"/>
      <c r="H2" s="3" t="s">
        <v>5</v>
      </c>
      <c r="I2" s="4">
        <v>24302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/>
    </row>
    <row r="3" spans="1:23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99</v>
      </c>
      <c r="H3" s="3" t="s">
        <v>11</v>
      </c>
      <c r="I3" s="3">
        <f>I4*F1</f>
        <v>239390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-SUM(C30+D30+E30)</f>
        <v>-41413.039999999986</v>
      </c>
      <c r="R3" s="14">
        <v>0</v>
      </c>
      <c r="S3" s="15" t="s">
        <v>14</v>
      </c>
      <c r="T3"/>
      <c r="U3" s="16"/>
    </row>
    <row r="4" spans="1:23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239390/12</f>
        <v>19949.166666666668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16586.960000000014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3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0</v>
      </c>
      <c r="G5" s="21">
        <v>0</v>
      </c>
      <c r="H5" s="3" t="s">
        <v>26</v>
      </c>
      <c r="I5" s="3">
        <f>I4/2</f>
        <v>9974.5833333333339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-5176.6224999999986</v>
      </c>
      <c r="S5" s="15" t="s">
        <v>29</v>
      </c>
      <c r="T5"/>
      <c r="U5" s="16"/>
    </row>
    <row r="6" spans="1:23" ht="15.75" thickBot="1">
      <c r="A6" s="23">
        <v>40553</v>
      </c>
      <c r="B6" s="24">
        <v>8628.35</v>
      </c>
      <c r="C6" s="25">
        <v>0</v>
      </c>
      <c r="D6" s="25">
        <v>0</v>
      </c>
      <c r="E6" s="26">
        <f>C6</f>
        <v>0</v>
      </c>
      <c r="F6" s="27">
        <v>0</v>
      </c>
      <c r="G6" s="27">
        <v>0</v>
      </c>
      <c r="H6"/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20823.377500000002</v>
      </c>
      <c r="S6" s="32" t="s">
        <v>93</v>
      </c>
      <c r="T6"/>
      <c r="U6" s="16"/>
    </row>
    <row r="7" spans="1:23" ht="15.75" thickBot="1">
      <c r="A7" s="23">
        <v>40568</v>
      </c>
      <c r="B7" s="24">
        <v>8628.35</v>
      </c>
      <c r="C7" s="25">
        <v>0</v>
      </c>
      <c r="D7" s="25">
        <v>0</v>
      </c>
      <c r="E7" s="26">
        <f t="shared" ref="E7:E23" si="0">C7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3" ht="15">
      <c r="A8" s="23">
        <v>40584</v>
      </c>
      <c r="B8" s="24">
        <v>8628.35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H8"/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16586.960000000014</v>
      </c>
      <c r="S8" s="34" t="s">
        <v>101</v>
      </c>
      <c r="T8"/>
      <c r="U8" s="16"/>
    </row>
    <row r="9" spans="1:23" ht="15">
      <c r="A9" s="23">
        <v>40599</v>
      </c>
      <c r="B9" s="24">
        <v>8628.35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H9"/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3" ht="15">
      <c r="A10" s="23">
        <v>40612</v>
      </c>
      <c r="B10" s="24">
        <v>8628.35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H10"/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3" ht="15.75" thickBot="1">
      <c r="A11" s="23">
        <v>40627</v>
      </c>
      <c r="B11" s="24">
        <v>8628.35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H11"/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23086.960000000014</v>
      </c>
      <c r="S11" s="37"/>
      <c r="T11"/>
      <c r="U11" s="41"/>
      <c r="V11"/>
    </row>
    <row r="12" spans="1:23" ht="15.75" thickBot="1">
      <c r="A12" s="23">
        <v>40643</v>
      </c>
      <c r="B12" s="24">
        <v>8628.35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H12"/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3" ht="15">
      <c r="A13" s="23">
        <v>40658</v>
      </c>
      <c r="B13" s="24">
        <v>8628.35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H13"/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3" ht="15">
      <c r="A14" s="23">
        <v>40673</v>
      </c>
      <c r="B14" s="24">
        <v>8628.35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H14"/>
      <c r="I14" s="101"/>
      <c r="J14" s="102"/>
      <c r="K14" s="103"/>
      <c r="L14" s="104"/>
      <c r="M14" s="104"/>
      <c r="N14" s="105"/>
      <c r="O14" s="106"/>
      <c r="P14" s="107"/>
      <c r="Q14" s="105"/>
      <c r="R14" s="14">
        <f>IF(R11&lt;R6,R11,R6)</f>
        <v>20823.377500000002</v>
      </c>
      <c r="S14" s="42" t="s">
        <v>31</v>
      </c>
      <c r="T14"/>
      <c r="U14" s="31"/>
      <c r="V14" s="31"/>
    </row>
    <row r="15" spans="1:23" ht="15">
      <c r="A15" s="23">
        <v>40688</v>
      </c>
      <c r="B15" s="24">
        <v>8628.35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H15"/>
      <c r="I15"/>
      <c r="J15"/>
      <c r="K15" s="214" t="e">
        <v>#REF!</v>
      </c>
      <c r="L15" s="215"/>
      <c r="M15" s="216"/>
      <c r="N15"/>
      <c r="O15" s="44"/>
      <c r="P15" s="41"/>
      <c r="R15" s="14">
        <f t="shared" ref="R15:R38" si="1">R14-F6</f>
        <v>20823.377500000002</v>
      </c>
      <c r="S15" s="23">
        <v>40553</v>
      </c>
      <c r="T15"/>
      <c r="U15" s="31"/>
      <c r="V15"/>
    </row>
    <row r="16" spans="1:23" ht="15">
      <c r="A16" s="23">
        <v>40704</v>
      </c>
      <c r="B16" s="24">
        <f>(215.71+647.13)/0.1</f>
        <v>8628.4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si="1"/>
        <v>20823.377500000002</v>
      </c>
      <c r="S16" s="23">
        <v>40568</v>
      </c>
      <c r="T16"/>
      <c r="U16" s="31"/>
      <c r="V16"/>
    </row>
    <row r="17" spans="1:25" ht="15">
      <c r="A17" s="23">
        <v>40719</v>
      </c>
      <c r="B17" s="24">
        <f>(215.71+647.13)/0.1</f>
        <v>8628.4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H17"/>
      <c r="I17"/>
      <c r="J17"/>
      <c r="K17" s="47"/>
      <c r="L17" s="45"/>
      <c r="M17" s="45"/>
      <c r="N17" s="45"/>
      <c r="O17" s="48"/>
      <c r="P17" s="45"/>
      <c r="Q17" s="46"/>
      <c r="R17" s="14">
        <f t="shared" si="1"/>
        <v>20823.377500000002</v>
      </c>
      <c r="S17" s="23">
        <v>40584</v>
      </c>
      <c r="T17"/>
      <c r="U17" s="31"/>
      <c r="V17"/>
    </row>
    <row r="18" spans="1:25" ht="15">
      <c r="A18" s="23">
        <v>40369</v>
      </c>
      <c r="B18" s="24">
        <f>(161.78+485.34)/0.1</f>
        <v>6471.2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H18"/>
      <c r="I18"/>
      <c r="J18"/>
      <c r="K18" s="45"/>
      <c r="L18" s="45"/>
      <c r="M18" s="45"/>
      <c r="N18" s="45"/>
      <c r="O18"/>
      <c r="P18"/>
      <c r="Q18"/>
      <c r="R18" s="14">
        <f t="shared" si="1"/>
        <v>20823.377500000002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24">
        <f>(107.85+323.56)/0.1</f>
        <v>4314.0999999999995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H19"/>
      <c r="I19"/>
      <c r="J19"/>
      <c r="K19" s="49"/>
      <c r="L19"/>
      <c r="M19"/>
      <c r="N19"/>
      <c r="O19"/>
      <c r="P19"/>
      <c r="Q19"/>
      <c r="R19" s="14">
        <f t="shared" si="1"/>
        <v>20823.377500000002</v>
      </c>
      <c r="S19" s="23">
        <v>40612</v>
      </c>
      <c r="T19"/>
      <c r="U19" s="31"/>
      <c r="V19"/>
    </row>
    <row r="20" spans="1:25" ht="15">
      <c r="A20" s="23">
        <v>40400</v>
      </c>
      <c r="B20" s="24">
        <v>4314.17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O20"/>
      <c r="P20"/>
      <c r="Q20"/>
      <c r="R20" s="14">
        <f t="shared" si="1"/>
        <v>20823.377500000002</v>
      </c>
      <c r="S20" s="23">
        <v>40627</v>
      </c>
      <c r="T20"/>
      <c r="U20" s="31"/>
      <c r="V20"/>
    </row>
    <row r="21" spans="1:25" ht="15">
      <c r="A21" s="23">
        <v>40415</v>
      </c>
      <c r="B21" s="24">
        <v>8628.35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>
        <f>20823.38</f>
        <v>20823.38</v>
      </c>
      <c r="K21" s="52"/>
      <c r="L21"/>
      <c r="M21"/>
      <c r="N21"/>
      <c r="O21"/>
      <c r="P21"/>
      <c r="Q21"/>
      <c r="R21" s="14">
        <f t="shared" si="1"/>
        <v>20823.377500000002</v>
      </c>
      <c r="S21" s="23">
        <v>40643</v>
      </c>
      <c r="T21"/>
      <c r="U21" s="31"/>
      <c r="V21"/>
      <c r="X21" s="31"/>
    </row>
    <row r="22" spans="1:25" ht="15">
      <c r="A22" s="23">
        <v>40066</v>
      </c>
      <c r="B22" s="24">
        <v>9974.58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L22"/>
      <c r="M22"/>
      <c r="N22"/>
      <c r="O22"/>
      <c r="P22"/>
      <c r="Q22"/>
      <c r="R22" s="14">
        <f t="shared" si="1"/>
        <v>20823.377500000002</v>
      </c>
      <c r="S22" s="23">
        <v>40658</v>
      </c>
      <c r="T22"/>
      <c r="U22" s="31"/>
      <c r="V22"/>
      <c r="X22" s="31"/>
    </row>
    <row r="23" spans="1:25" ht="15">
      <c r="A23" s="23">
        <v>40081</v>
      </c>
      <c r="B23" s="24">
        <v>9974.58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>
        <f>8536.08/5</f>
        <v>1707.2159999999999</v>
      </c>
      <c r="J23" s="53"/>
      <c r="L23"/>
      <c r="M23"/>
      <c r="N23"/>
      <c r="O23"/>
      <c r="P23"/>
      <c r="Q23"/>
      <c r="R23" s="14">
        <f t="shared" si="1"/>
        <v>20823.377500000002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24">
        <v>9974.58</v>
      </c>
      <c r="C24" s="25">
        <v>11789.43</v>
      </c>
      <c r="D24" s="25">
        <v>3929.8</v>
      </c>
      <c r="E24" s="26">
        <f t="shared" ref="E24:E30" si="2">C24+D24</f>
        <v>15719.23</v>
      </c>
      <c r="F24" s="27">
        <v>12287.3</v>
      </c>
      <c r="G24" s="27">
        <v>16662</v>
      </c>
      <c r="H24" s="53"/>
      <c r="I24" s="53"/>
      <c r="J24" s="53"/>
      <c r="K24" s="209"/>
      <c r="L24" s="209"/>
      <c r="M24" s="209"/>
      <c r="N24"/>
      <c r="O24"/>
      <c r="P24"/>
      <c r="Q24"/>
      <c r="R24" s="14">
        <f t="shared" si="1"/>
        <v>20823.377500000002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24">
        <v>9974.58</v>
      </c>
      <c r="C25" s="25">
        <f>B25*0.075</f>
        <v>748.09349999999995</v>
      </c>
      <c r="D25" s="25">
        <f>B25*0.025</f>
        <v>249.36450000000002</v>
      </c>
      <c r="E25" s="26">
        <f t="shared" si="2"/>
        <v>997.45799999999997</v>
      </c>
      <c r="F25" s="27">
        <v>1707.21</v>
      </c>
      <c r="G25" s="27">
        <v>1388.5</v>
      </c>
      <c r="H25" s="54"/>
      <c r="I25" s="55"/>
      <c r="J25" s="54"/>
      <c r="K25" s="209"/>
      <c r="L25" s="209"/>
      <c r="M25" s="209"/>
      <c r="N25"/>
      <c r="O25"/>
      <c r="P25"/>
      <c r="R25" s="14">
        <f t="shared" si="1"/>
        <v>20823.377500000002</v>
      </c>
      <c r="S25" s="23">
        <v>40704</v>
      </c>
      <c r="T25"/>
      <c r="U25" s="31"/>
      <c r="V25"/>
    </row>
    <row r="26" spans="1:25" ht="15">
      <c r="A26" s="23">
        <v>40127</v>
      </c>
      <c r="B26" s="24">
        <v>9974.58</v>
      </c>
      <c r="C26" s="25">
        <f>B26*0.075</f>
        <v>748.09349999999995</v>
      </c>
      <c r="D26" s="25">
        <f>B26*0.025</f>
        <v>249.36450000000002</v>
      </c>
      <c r="E26" s="26">
        <f t="shared" si="2"/>
        <v>997.45799999999997</v>
      </c>
      <c r="F26" s="27">
        <v>1707.21</v>
      </c>
      <c r="G26" s="27">
        <v>1987.37</v>
      </c>
      <c r="H26" s="50"/>
      <c r="I26" s="45"/>
      <c r="J26" s="45"/>
      <c r="K26"/>
      <c r="L26"/>
      <c r="M26"/>
      <c r="N26"/>
      <c r="O26"/>
      <c r="P26"/>
      <c r="R26" s="14">
        <f t="shared" si="1"/>
        <v>20823.377500000002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24">
        <v>9974.58</v>
      </c>
      <c r="C27" s="25">
        <f>B27*0.075</f>
        <v>748.09349999999995</v>
      </c>
      <c r="D27" s="25">
        <f>B27*0.025</f>
        <v>249.36450000000002</v>
      </c>
      <c r="E27" s="26">
        <f t="shared" si="2"/>
        <v>997.45799999999997</v>
      </c>
      <c r="F27" s="27">
        <v>1707.21</v>
      </c>
      <c r="G27" s="27">
        <v>1987.37</v>
      </c>
      <c r="H27" s="56"/>
      <c r="I27" s="56"/>
      <c r="J27" s="56"/>
      <c r="K27"/>
      <c r="L27"/>
      <c r="M27"/>
      <c r="N27"/>
      <c r="O27"/>
      <c r="P27"/>
      <c r="R27" s="14">
        <f t="shared" si="1"/>
        <v>20823.377500000002</v>
      </c>
      <c r="S27" s="23">
        <v>40369</v>
      </c>
      <c r="T27"/>
      <c r="U27" s="31"/>
      <c r="V27"/>
    </row>
    <row r="28" spans="1:25" ht="15">
      <c r="A28" s="23">
        <v>40157</v>
      </c>
      <c r="B28" s="24">
        <v>9974.58</v>
      </c>
      <c r="C28" s="25">
        <f>B28*0.075</f>
        <v>748.09349999999995</v>
      </c>
      <c r="D28" s="25">
        <f>B28*0.025</f>
        <v>249.36450000000002</v>
      </c>
      <c r="E28" s="26">
        <f t="shared" si="2"/>
        <v>997.45799999999997</v>
      </c>
      <c r="F28" s="27">
        <v>1707.21</v>
      </c>
      <c r="G28" s="27">
        <v>1987.37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20823.377500000002</v>
      </c>
      <c r="S28" s="23">
        <v>40384</v>
      </c>
      <c r="T28"/>
      <c r="U28" s="89"/>
      <c r="V28"/>
    </row>
    <row r="29" spans="1:25" ht="15.75" thickBot="1">
      <c r="A29" s="23">
        <v>39441</v>
      </c>
      <c r="B29" s="24">
        <v>9974.58</v>
      </c>
      <c r="C29" s="25">
        <f>B29*0.075</f>
        <v>748.09349999999995</v>
      </c>
      <c r="D29" s="97">
        <f>B29*0.025</f>
        <v>249.36450000000002</v>
      </c>
      <c r="E29" s="97">
        <f t="shared" si="2"/>
        <v>997.45799999999997</v>
      </c>
      <c r="F29" s="27">
        <v>1707.21</v>
      </c>
      <c r="G29" s="27">
        <v>1987.37</v>
      </c>
      <c r="H29" s="56"/>
      <c r="I29" s="56"/>
      <c r="J29" s="56"/>
      <c r="K29" s="57"/>
      <c r="L29" s="57"/>
      <c r="M29" s="57"/>
      <c r="N29" s="57"/>
      <c r="O29"/>
      <c r="P29"/>
      <c r="Q29"/>
      <c r="R29" s="14">
        <f t="shared" si="1"/>
        <v>20823.377500000002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>SUM(B6:B29)</f>
        <v>207064.75999999992</v>
      </c>
      <c r="C30" s="59">
        <f>SUM(C6:C29)</f>
        <v>15529.897499999995</v>
      </c>
      <c r="D30" s="26">
        <f>SUM(D6:D29)</f>
        <v>5176.6224999999986</v>
      </c>
      <c r="E30" s="26">
        <f t="shared" si="2"/>
        <v>20706.519999999993</v>
      </c>
      <c r="F30" s="59">
        <f>SUM(F6:F29)</f>
        <v>20823.349999999995</v>
      </c>
      <c r="G30" s="59">
        <f>SUM(G6:G29)</f>
        <v>25999.979999999996</v>
      </c>
      <c r="H30" s="44"/>
      <c r="I30" s="132"/>
      <c r="J30" s="44"/>
      <c r="K30" s="57"/>
      <c r="L30" s="57"/>
      <c r="M30" s="57"/>
      <c r="N30" s="57"/>
      <c r="O30"/>
      <c r="P30"/>
      <c r="Q30"/>
      <c r="R30" s="14">
        <f t="shared" si="1"/>
        <v>20823.377500000002</v>
      </c>
      <c r="S30" s="23">
        <v>40415</v>
      </c>
      <c r="T30"/>
      <c r="U30" s="89" t="s">
        <v>32</v>
      </c>
      <c r="V30"/>
    </row>
    <row r="31" spans="1:25" ht="15.75" thickBot="1">
      <c r="A31" s="63"/>
      <c r="B31" s="64"/>
      <c r="C31" s="64"/>
      <c r="D31" s="64"/>
      <c r="E31" s="64"/>
      <c r="F31" s="65"/>
      <c r="G31" s="65"/>
      <c r="H31" s="44"/>
      <c r="I31" s="132"/>
      <c r="J31" s="44"/>
      <c r="K31" s="57"/>
      <c r="L31" s="57"/>
      <c r="M31" s="57"/>
      <c r="N31" s="57"/>
      <c r="O31"/>
      <c r="P31"/>
      <c r="Q31"/>
      <c r="R31" s="14">
        <f t="shared" si="1"/>
        <v>20823.377500000002</v>
      </c>
      <c r="S31" s="23">
        <v>40066</v>
      </c>
      <c r="T31"/>
      <c r="U31" s="89" t="s">
        <v>32</v>
      </c>
      <c r="V31"/>
    </row>
    <row r="32" spans="1:25" ht="15">
      <c r="A32"/>
      <c r="B32"/>
      <c r="C32"/>
      <c r="D32"/>
      <c r="E32" s="100"/>
      <c r="F32" s="36"/>
      <c r="G32" s="36"/>
      <c r="H32" s="57"/>
      <c r="I32" s="57"/>
      <c r="J32" s="57"/>
      <c r="K32" s="57"/>
      <c r="L32" s="57"/>
      <c r="M32" s="57"/>
      <c r="N32" s="57"/>
      <c r="O32"/>
      <c r="P32"/>
      <c r="Q32"/>
      <c r="R32" s="14">
        <f t="shared" si="1"/>
        <v>20823.377500000002</v>
      </c>
      <c r="S32" s="23">
        <v>40081</v>
      </c>
      <c r="T32"/>
      <c r="U32" s="89" t="s">
        <v>32</v>
      </c>
      <c r="V32"/>
    </row>
    <row r="33" spans="1:22" ht="15">
      <c r="A33"/>
      <c r="B33" s="31"/>
      <c r="C33"/>
      <c r="D33"/>
      <c r="E33"/>
      <c r="F33" s="129"/>
      <c r="G33" s="129"/>
      <c r="H33" s="57"/>
      <c r="I33" s="57"/>
      <c r="J33" s="57"/>
      <c r="K33" s="57"/>
      <c r="L33" s="57"/>
      <c r="M33" s="57"/>
      <c r="N33" s="57"/>
      <c r="O33"/>
      <c r="P33"/>
      <c r="Q33"/>
      <c r="R33" s="14">
        <f t="shared" si="1"/>
        <v>8536.0775000000031</v>
      </c>
      <c r="S33" s="23">
        <v>40096</v>
      </c>
      <c r="T33"/>
      <c r="U33"/>
      <c r="V33"/>
    </row>
    <row r="34" spans="1:22" ht="15">
      <c r="A34"/>
      <c r="C34" s="112"/>
      <c r="D34" s="112"/>
      <c r="E34" s="130"/>
      <c r="F34" s="69"/>
      <c r="G34" s="69"/>
      <c r="H34" s="57"/>
      <c r="I34" s="57"/>
      <c r="J34" s="57"/>
      <c r="K34" s="57"/>
      <c r="L34" s="57"/>
      <c r="M34" s="57"/>
      <c r="N34" s="57"/>
      <c r="O34"/>
      <c r="P34"/>
      <c r="Q34"/>
      <c r="R34" s="14">
        <f t="shared" si="1"/>
        <v>6828.867500000003</v>
      </c>
      <c r="S34" s="23">
        <v>40111</v>
      </c>
      <c r="T34"/>
      <c r="U34"/>
      <c r="V34"/>
    </row>
    <row r="35" spans="1:22" ht="15">
      <c r="A35"/>
      <c r="C35" s="113"/>
      <c r="D35" s="113"/>
      <c r="E35" s="131"/>
      <c r="F35"/>
      <c r="G35"/>
      <c r="H35" s="57"/>
      <c r="I35" s="57"/>
      <c r="J35" s="57"/>
      <c r="K35" s="57"/>
      <c r="L35" s="57"/>
      <c r="M35" s="57"/>
      <c r="N35" s="57"/>
      <c r="O35"/>
      <c r="P35"/>
      <c r="Q35"/>
      <c r="R35" s="14">
        <f t="shared" si="1"/>
        <v>5121.657500000003</v>
      </c>
      <c r="S35" s="23">
        <v>40127</v>
      </c>
      <c r="T35"/>
      <c r="U35"/>
      <c r="V35"/>
    </row>
    <row r="36" spans="1:22" ht="15">
      <c r="A36"/>
      <c r="C36" s="31"/>
      <c r="D36" s="31"/>
      <c r="E36" s="114"/>
      <c r="G36"/>
      <c r="H36" s="70"/>
      <c r="I36" s="57"/>
      <c r="J36" s="57"/>
      <c r="K36" s="57"/>
      <c r="L36" s="57"/>
      <c r="M36" s="57"/>
      <c r="N36" s="57"/>
      <c r="O36"/>
      <c r="P36"/>
      <c r="Q36"/>
      <c r="R36" s="14">
        <f t="shared" si="1"/>
        <v>3414.4475000000029</v>
      </c>
      <c r="S36" s="23">
        <v>40142</v>
      </c>
      <c r="U36"/>
      <c r="V36"/>
    </row>
    <row r="37" spans="1:22" ht="15">
      <c r="A37"/>
      <c r="C37" s="31"/>
      <c r="D37" s="31"/>
      <c r="E37"/>
      <c r="F37"/>
      <c r="G37"/>
      <c r="H37" s="57"/>
      <c r="I37" s="57"/>
      <c r="J37" s="57"/>
      <c r="K37" s="57"/>
      <c r="L37" s="57"/>
      <c r="M37" s="57"/>
      <c r="N37" s="57"/>
      <c r="O37"/>
      <c r="P37"/>
      <c r="Q37"/>
      <c r="R37" s="14">
        <f t="shared" si="1"/>
        <v>1707.2375000000029</v>
      </c>
      <c r="S37" s="23">
        <v>40157</v>
      </c>
      <c r="U37"/>
      <c r="V37"/>
    </row>
    <row r="38" spans="1:22" ht="15.75" thickBot="1">
      <c r="A38"/>
      <c r="C38" s="31"/>
      <c r="D38" s="31"/>
      <c r="E38"/>
      <c r="F38"/>
      <c r="G38"/>
      <c r="H38" s="57"/>
      <c r="I38" s="57"/>
      <c r="J38" s="57"/>
      <c r="K38" s="57"/>
      <c r="L38" s="57"/>
      <c r="M38" s="57"/>
      <c r="N38" s="57"/>
      <c r="O38" s="5" t="s">
        <v>42</v>
      </c>
      <c r="P38"/>
      <c r="Q38"/>
      <c r="R38" s="19">
        <f t="shared" si="1"/>
        <v>2.7500000002874003E-2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  <c r="I44" s="57"/>
      <c r="J44" s="57"/>
    </row>
    <row r="45" spans="1:22">
      <c r="B45" s="57"/>
      <c r="C45" s="70"/>
      <c r="D45" s="70"/>
      <c r="E45" s="70"/>
      <c r="F45" s="57"/>
      <c r="G45" s="57"/>
    </row>
    <row r="47" spans="1:22">
      <c r="C47" s="31"/>
      <c r="D47" s="31"/>
    </row>
  </sheetData>
  <mergeCells count="6">
    <mergeCell ref="K25:M25"/>
    <mergeCell ref="B1:C1"/>
    <mergeCell ref="L1:M1"/>
    <mergeCell ref="B2:C2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41">
    <tabColor rgb="FFFF0000"/>
  </sheetPr>
  <dimension ref="A1:WVS48"/>
  <sheetViews>
    <sheetView zoomScale="85" zoomScaleNormal="85" workbookViewId="0">
      <selection activeCell="D27" sqref="D2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82</v>
      </c>
      <c r="C1" s="207"/>
      <c r="D1" s="1" t="s">
        <v>1</v>
      </c>
      <c r="E1" s="2">
        <v>9</v>
      </c>
      <c r="F1" s="2"/>
      <c r="G1" s="2"/>
      <c r="H1" s="2"/>
      <c r="I1" s="3" t="s">
        <v>2</v>
      </c>
      <c r="J1" s="4">
        <v>35293</v>
      </c>
    </row>
    <row r="2" spans="1:20" ht="15">
      <c r="A2" s="1" t="s">
        <v>4</v>
      </c>
      <c r="B2" s="208">
        <v>529969254</v>
      </c>
      <c r="C2" s="208"/>
      <c r="D2"/>
      <c r="E2" s="6"/>
      <c r="F2" s="6"/>
      <c r="G2" s="6"/>
      <c r="H2" s="6"/>
      <c r="I2" s="3" t="s">
        <v>5</v>
      </c>
      <c r="J2" s="4">
        <v>23281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140197.85999999999</v>
      </c>
      <c r="K3" s="49"/>
      <c r="L3" s="14">
        <f>-SUM(C30+D30+E30+F30)</f>
        <v>-37386.173000000003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15577.539999999999</v>
      </c>
      <c r="K4" s="49"/>
      <c r="L4" s="19">
        <f>SUM(L2:L3)</f>
        <v>20613.826999999997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7788.7699999999995</v>
      </c>
      <c r="K5" s="49"/>
      <c r="O5" s="14">
        <f>-D30</f>
        <v>-4673.2577499999998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21326.742249999999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20613.826999999997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27113.826999999997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21326.742249999999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21326.742249999999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21326.742249999999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21326.742249999999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21326.742249999999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21326.742249999999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21326.742249999999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21326.742249999999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21326.742249999999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21326.742249999999</v>
      </c>
      <c r="P23" s="23">
        <v>40673</v>
      </c>
      <c r="R23" s="31"/>
      <c r="U23" s="31"/>
    </row>
    <row r="24" spans="1:22">
      <c r="A24" s="23">
        <v>40096</v>
      </c>
      <c r="B24" s="98">
        <v>147986.64000000001</v>
      </c>
      <c r="C24" s="25">
        <v>11099.04</v>
      </c>
      <c r="D24" s="25">
        <v>3505.04</v>
      </c>
      <c r="E24" s="26">
        <v>11099.04</v>
      </c>
      <c r="F24" s="25">
        <v>3699.68</v>
      </c>
      <c r="G24" s="27">
        <v>22494.959999999999</v>
      </c>
      <c r="H24" s="27">
        <v>0</v>
      </c>
      <c r="I24" s="53"/>
      <c r="J24" s="53"/>
      <c r="K24" s="53"/>
      <c r="O24" s="14">
        <f t="shared" si="4"/>
        <v>21326.742249999999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7788.7699999999995</v>
      </c>
      <c r="C25" s="25">
        <f t="shared" si="0"/>
        <v>584.15774999999996</v>
      </c>
      <c r="D25" s="25">
        <v>0</v>
      </c>
      <c r="E25" s="26">
        <f t="shared" si="2"/>
        <v>584.15774999999996</v>
      </c>
      <c r="F25" s="25">
        <v>0</v>
      </c>
      <c r="G25" s="134">
        <v>-1168.23</v>
      </c>
      <c r="H25" s="27">
        <v>0</v>
      </c>
      <c r="I25" s="54"/>
      <c r="J25" s="55"/>
      <c r="K25" s="54"/>
      <c r="O25" s="14">
        <f t="shared" si="4"/>
        <v>21326.742249999999</v>
      </c>
      <c r="P25" s="23">
        <v>40704</v>
      </c>
      <c r="R25" s="31"/>
    </row>
    <row r="26" spans="1:22">
      <c r="A26" s="23">
        <v>40127</v>
      </c>
      <c r="B26" s="98">
        <f>J5</f>
        <v>7788.7699999999995</v>
      </c>
      <c r="C26" s="25">
        <f t="shared" si="0"/>
        <v>584.15774999999996</v>
      </c>
      <c r="D26" s="153">
        <v>194.72</v>
      </c>
      <c r="E26" s="26">
        <f t="shared" si="2"/>
        <v>584.15774999999996</v>
      </c>
      <c r="F26" s="25">
        <v>0.08</v>
      </c>
      <c r="G26" s="27">
        <v>0</v>
      </c>
      <c r="H26" s="27">
        <v>0</v>
      </c>
      <c r="I26" s="50"/>
      <c r="J26" s="45"/>
      <c r="K26" s="45"/>
      <c r="O26" s="14">
        <f t="shared" si="4"/>
        <v>21326.742249999999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7788.7699999999995</v>
      </c>
      <c r="C27" s="25">
        <f t="shared" si="0"/>
        <v>584.15774999999996</v>
      </c>
      <c r="D27" s="135">
        <f>(B27*0.025)+389.34</f>
        <v>584.05925000000002</v>
      </c>
      <c r="E27" s="26">
        <f t="shared" si="2"/>
        <v>584.15774999999996</v>
      </c>
      <c r="F27" s="135">
        <f>(B27*0.025)+389.34</f>
        <v>584.05925000000002</v>
      </c>
      <c r="G27" s="27">
        <v>0</v>
      </c>
      <c r="H27" s="27">
        <v>0</v>
      </c>
      <c r="I27" s="56"/>
      <c r="J27" s="56"/>
      <c r="K27" s="56"/>
      <c r="O27" s="14">
        <f t="shared" si="4"/>
        <v>21326.742249999999</v>
      </c>
      <c r="P27" s="23">
        <v>40369</v>
      </c>
      <c r="R27" s="31"/>
    </row>
    <row r="28" spans="1:22">
      <c r="A28" s="23">
        <v>40157</v>
      </c>
      <c r="B28" s="98">
        <f>J5</f>
        <v>7788.7699999999995</v>
      </c>
      <c r="C28" s="25">
        <f t="shared" si="0"/>
        <v>584.15774999999996</v>
      </c>
      <c r="D28" s="25">
        <f t="shared" si="1"/>
        <v>194.71924999999999</v>
      </c>
      <c r="E28" s="26">
        <f t="shared" si="2"/>
        <v>584.15774999999996</v>
      </c>
      <c r="F28" s="26">
        <f t="shared" si="3"/>
        <v>194.71924999999999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21326.742249999999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7788.7699999999995</v>
      </c>
      <c r="C29" s="25">
        <f t="shared" si="0"/>
        <v>584.15774999999996</v>
      </c>
      <c r="D29" s="126">
        <f t="shared" si="1"/>
        <v>194.71924999999999</v>
      </c>
      <c r="E29" s="97">
        <f t="shared" si="2"/>
        <v>584.15774999999996</v>
      </c>
      <c r="F29" s="97">
        <f t="shared" si="3"/>
        <v>194.71924999999999</v>
      </c>
      <c r="G29" s="27">
        <v>0</v>
      </c>
      <c r="H29" s="27">
        <v>0</v>
      </c>
      <c r="I29" s="56" t="s">
        <v>132</v>
      </c>
      <c r="J29" s="56"/>
      <c r="K29" s="56"/>
      <c r="O29" s="14">
        <f t="shared" si="4"/>
        <v>21326.742249999999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186930.48999999996</v>
      </c>
      <c r="C30" s="59">
        <f t="shared" si="5"/>
        <v>14019.828750000002</v>
      </c>
      <c r="D30" s="94">
        <f t="shared" si="5"/>
        <v>4673.2577499999998</v>
      </c>
      <c r="E30" s="94">
        <f t="shared" si="5"/>
        <v>14019.828750000002</v>
      </c>
      <c r="F30" s="94">
        <f t="shared" si="5"/>
        <v>4673.2577499999998</v>
      </c>
      <c r="G30" s="59">
        <f t="shared" si="5"/>
        <v>21326.73</v>
      </c>
      <c r="H30" s="59">
        <f t="shared" si="5"/>
        <v>0</v>
      </c>
      <c r="I30" s="44"/>
      <c r="J30" s="132"/>
      <c r="K30" s="44"/>
      <c r="O30" s="14">
        <f t="shared" si="4"/>
        <v>21326.742249999999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14019.786749999997</v>
      </c>
      <c r="D31" s="160">
        <f>B30*0.025</f>
        <v>4673.2622499999989</v>
      </c>
      <c r="E31" s="64">
        <f>C31</f>
        <v>14019.786749999997</v>
      </c>
      <c r="F31" s="64">
        <f>D31</f>
        <v>4673.2622499999989</v>
      </c>
      <c r="G31" s="65"/>
      <c r="H31" s="65"/>
      <c r="I31" s="44"/>
      <c r="J31" s="132"/>
      <c r="K31" s="44"/>
      <c r="O31" s="14">
        <f t="shared" si="4"/>
        <v>21326.742249999999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4.2000000004918547E-2</v>
      </c>
      <c r="D32" s="31">
        <f>D30-D31</f>
        <v>-4.4999999990977813E-3</v>
      </c>
      <c r="E32" s="31">
        <f>E30-E31</f>
        <v>4.2000000004918547E-2</v>
      </c>
      <c r="F32" s="31">
        <f>F30-F31</f>
        <v>-4.4999999990977813E-3</v>
      </c>
      <c r="G32" s="45"/>
      <c r="H32" s="45"/>
      <c r="I32" s="57"/>
      <c r="J32" s="57"/>
      <c r="K32" s="57"/>
      <c r="O32" s="14">
        <f t="shared" si="4"/>
        <v>21326.742249999999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-1168.2177499999998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1.2250000000221917E-2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1.2250000000221917E-2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1.2250000000221917E-2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1.2250000000221917E-2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1.2250000000221917E-2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61"/>
  <dimension ref="A1:WVS48"/>
  <sheetViews>
    <sheetView zoomScale="85" zoomScaleNormal="85" workbookViewId="0">
      <selection activeCell="F37" sqref="F3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136</v>
      </c>
      <c r="C1" s="127"/>
      <c r="D1" s="1" t="s">
        <v>1</v>
      </c>
      <c r="E1" s="2">
        <v>4.5</v>
      </c>
      <c r="F1" s="16"/>
      <c r="G1" s="16"/>
      <c r="H1" s="2"/>
      <c r="I1" s="3" t="s">
        <v>2</v>
      </c>
      <c r="J1" s="73"/>
    </row>
    <row r="2" spans="1:20">
      <c r="A2" s="1" t="s">
        <v>4</v>
      </c>
      <c r="B2" s="170">
        <v>11169755</v>
      </c>
      <c r="C2" s="128"/>
      <c r="D2" s="1"/>
      <c r="E2" s="6"/>
      <c r="H2" s="6"/>
      <c r="I2" s="3" t="s">
        <v>5</v>
      </c>
      <c r="J2" s="73">
        <v>18321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14472</v>
      </c>
      <c r="K3" s="49"/>
      <c r="L3" s="14">
        <f>-SUM(C30+D30+E30+F30)</f>
        <v>-723.59999999999991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3216</v>
      </c>
      <c r="K4" s="49"/>
      <c r="L4" s="19">
        <f>SUM(L2:L3)</f>
        <v>57276.4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1608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57276.4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63776.4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68">
        <v>18972.05</v>
      </c>
      <c r="C26" s="167" t="s">
        <v>137</v>
      </c>
      <c r="D26" s="25">
        <v>0</v>
      </c>
      <c r="E26" s="167" t="s">
        <v>137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1608</v>
      </c>
      <c r="C27" s="25">
        <f t="shared" si="0"/>
        <v>120.6</v>
      </c>
      <c r="D27" s="25">
        <v>0</v>
      </c>
      <c r="E27" s="26">
        <f t="shared" si="2"/>
        <v>120.6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1608</v>
      </c>
      <c r="C28" s="25">
        <f t="shared" si="0"/>
        <v>120.6</v>
      </c>
      <c r="D28" s="25">
        <v>0</v>
      </c>
      <c r="E28" s="26">
        <f t="shared" si="2"/>
        <v>120.6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1608</v>
      </c>
      <c r="C29" s="25">
        <f t="shared" si="0"/>
        <v>120.6</v>
      </c>
      <c r="D29" s="126">
        <v>0</v>
      </c>
      <c r="E29" s="97">
        <f t="shared" si="2"/>
        <v>120.6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23796.05</v>
      </c>
      <c r="C30" s="59">
        <f t="shared" si="5"/>
        <v>361.79999999999995</v>
      </c>
      <c r="D30" s="94">
        <f t="shared" si="5"/>
        <v>0</v>
      </c>
      <c r="E30" s="94">
        <f t="shared" si="5"/>
        <v>361.79999999999995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1784.7037499999999</v>
      </c>
      <c r="D31" s="160">
        <v>0</v>
      </c>
      <c r="E31" s="64">
        <f>C31</f>
        <v>1784.7037499999999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-1422.9037499999999</v>
      </c>
      <c r="D32" s="31">
        <f>D30-D31</f>
        <v>0</v>
      </c>
      <c r="E32" s="31">
        <f>E30-E31</f>
        <v>-1422.9037499999999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96">
    <tabColor rgb="FFFF0000"/>
  </sheetPr>
  <dimension ref="A1:WVS48"/>
  <sheetViews>
    <sheetView zoomScale="85" zoomScaleNormal="85" workbookViewId="0">
      <selection activeCell="D45" sqref="D4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111</v>
      </c>
      <c r="C1" s="207"/>
      <c r="D1" s="127"/>
      <c r="E1" s="1" t="s">
        <v>1</v>
      </c>
      <c r="F1" s="2">
        <v>12</v>
      </c>
      <c r="G1" s="2"/>
      <c r="H1" s="2"/>
      <c r="I1" s="3" t="s">
        <v>2</v>
      </c>
      <c r="J1" s="4">
        <v>38292</v>
      </c>
    </row>
    <row r="2" spans="1:20" ht="15">
      <c r="A2" s="1" t="s">
        <v>4</v>
      </c>
      <c r="B2" s="208">
        <v>540921293</v>
      </c>
      <c r="C2" s="208"/>
      <c r="D2" s="128"/>
      <c r="E2"/>
      <c r="F2" s="6"/>
      <c r="G2" s="6"/>
      <c r="H2" s="6"/>
      <c r="I2" s="3" t="s">
        <v>5</v>
      </c>
      <c r="J2" s="4">
        <v>24845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f>J4*H1</f>
        <v>0</v>
      </c>
      <c r="K3" s="49"/>
      <c r="L3" s="14">
        <f>-SUM(C30+D30+E30+F30)</f>
        <v>-27936.707500000011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v>11606.95</v>
      </c>
      <c r="K4" s="49">
        <f>J4*1.03</f>
        <v>11955.158500000001</v>
      </c>
      <c r="L4" s="19">
        <f>SUM(L2:L3)</f>
        <v>30063.292499999989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5803.4750000000004</v>
      </c>
      <c r="K5" s="49">
        <f>K4/2</f>
        <v>5977.5792500000007</v>
      </c>
      <c r="O5" s="14">
        <f>-D30</f>
        <v>-3522.1106249999998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22477.889374999999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5" si="1">B7*0.025</f>
        <v>0</v>
      </c>
      <c r="E7" s="26">
        <f t="shared" ref="E7:E29" si="2">B7*0.075</f>
        <v>0</v>
      </c>
      <c r="F7" s="25">
        <f t="shared" ref="F7:F25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30063.292499999989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36563.292499999989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22477.889374999999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22477.889374999999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22477.889374999999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22477.889374999999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22477.889374999999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22477.889374999999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22477.889374999999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22477.889374999999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22477.889374999999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22477.889374999999</v>
      </c>
      <c r="P23" s="23">
        <v>40673</v>
      </c>
      <c r="R23" s="31"/>
      <c r="U23" s="31"/>
    </row>
    <row r="24" spans="1:22">
      <c r="A24" s="23">
        <v>40096</v>
      </c>
      <c r="B24" s="125">
        <v>111867.16</v>
      </c>
      <c r="C24" s="125">
        <v>8269.94</v>
      </c>
      <c r="D24" s="125">
        <v>2756.71</v>
      </c>
      <c r="E24" s="125">
        <v>8269.94</v>
      </c>
      <c r="F24" s="25">
        <v>2756.71</v>
      </c>
      <c r="G24" s="125">
        <v>22230</v>
      </c>
      <c r="H24" s="27">
        <v>0</v>
      </c>
      <c r="I24" s="53"/>
      <c r="J24" s="53"/>
      <c r="K24" s="53"/>
      <c r="O24" s="14">
        <f t="shared" si="4"/>
        <v>22477.889374999999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5803.4750000000004</v>
      </c>
      <c r="C25" s="25">
        <f t="shared" si="0"/>
        <v>435.260625</v>
      </c>
      <c r="D25" s="25">
        <f t="shared" si="1"/>
        <v>145.08687500000002</v>
      </c>
      <c r="E25" s="26">
        <f t="shared" si="2"/>
        <v>435.260625</v>
      </c>
      <c r="F25" s="25">
        <f t="shared" si="3"/>
        <v>145.08687500000002</v>
      </c>
      <c r="G25" s="27">
        <v>868.2</v>
      </c>
      <c r="H25" s="27">
        <v>0</v>
      </c>
      <c r="I25" s="54"/>
      <c r="J25" s="55"/>
      <c r="K25" s="54"/>
      <c r="O25" s="14">
        <f t="shared" si="4"/>
        <v>22477.889374999999</v>
      </c>
      <c r="P25" s="23">
        <v>40704</v>
      </c>
      <c r="R25" s="31"/>
    </row>
    <row r="26" spans="1:22">
      <c r="A26" s="23">
        <v>40127</v>
      </c>
      <c r="B26" s="98">
        <f>J5</f>
        <v>5803.4750000000004</v>
      </c>
      <c r="C26" s="25">
        <f t="shared" si="0"/>
        <v>435.260625</v>
      </c>
      <c r="D26" s="25">
        <v>0</v>
      </c>
      <c r="E26" s="26">
        <f t="shared" si="2"/>
        <v>435.260625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22477.889374999999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5803.4750000000004</v>
      </c>
      <c r="C27" s="25">
        <f t="shared" si="0"/>
        <v>435.260625</v>
      </c>
      <c r="D27" s="25">
        <v>0</v>
      </c>
      <c r="E27" s="26">
        <f t="shared" si="2"/>
        <v>435.260625</v>
      </c>
      <c r="F27" s="25">
        <v>0</v>
      </c>
      <c r="G27" s="134">
        <v>-620.30999999999995</v>
      </c>
      <c r="H27" s="27">
        <v>0</v>
      </c>
      <c r="I27" s="56"/>
      <c r="J27" s="56"/>
      <c r="K27" s="56"/>
      <c r="O27" s="14">
        <f t="shared" si="4"/>
        <v>22477.889374999999</v>
      </c>
      <c r="P27" s="23">
        <v>40369</v>
      </c>
      <c r="R27" s="31"/>
    </row>
    <row r="28" spans="1:22">
      <c r="A28" s="23">
        <v>40157</v>
      </c>
      <c r="B28" s="98">
        <f>J5</f>
        <v>5803.4750000000004</v>
      </c>
      <c r="C28" s="25">
        <f t="shared" si="0"/>
        <v>435.260625</v>
      </c>
      <c r="D28" s="135">
        <f>(B28*0.025)+330.14</f>
        <v>475.22687500000001</v>
      </c>
      <c r="E28" s="26">
        <f t="shared" si="2"/>
        <v>435.260625</v>
      </c>
      <c r="F28" s="135">
        <f>(B28*0.025)+330.14</f>
        <v>475.22687500000001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22477.889374999999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5803.4750000000004</v>
      </c>
      <c r="C29" s="25">
        <f t="shared" si="0"/>
        <v>435.260625</v>
      </c>
      <c r="D29" s="25">
        <f>B29*0.025</f>
        <v>145.08687500000002</v>
      </c>
      <c r="E29" s="26">
        <f t="shared" si="2"/>
        <v>435.260625</v>
      </c>
      <c r="F29" s="25">
        <f>B29*0.025</f>
        <v>145.08687500000002</v>
      </c>
      <c r="G29" s="27">
        <v>0</v>
      </c>
      <c r="H29" s="27">
        <v>0</v>
      </c>
      <c r="I29" s="56"/>
      <c r="J29" s="56"/>
      <c r="K29" s="56"/>
      <c r="O29" s="14">
        <f t="shared" si="4"/>
        <v>22477.889374999999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140884.53500000003</v>
      </c>
      <c r="C30" s="59">
        <f t="shared" si="5"/>
        <v>10446.243125000005</v>
      </c>
      <c r="D30" s="94">
        <f t="shared" si="5"/>
        <v>3522.1106249999998</v>
      </c>
      <c r="E30" s="94">
        <f t="shared" si="5"/>
        <v>10446.243125000005</v>
      </c>
      <c r="F30" s="94">
        <f t="shared" si="5"/>
        <v>3522.1106249999998</v>
      </c>
      <c r="G30" s="59">
        <f t="shared" si="5"/>
        <v>22477.89</v>
      </c>
      <c r="H30" s="59">
        <f t="shared" si="5"/>
        <v>0</v>
      </c>
      <c r="I30" s="44"/>
      <c r="J30" s="132"/>
      <c r="K30" s="44"/>
      <c r="O30" s="14">
        <f t="shared" si="4"/>
        <v>22477.889374999999</v>
      </c>
      <c r="P30" s="23">
        <v>40415</v>
      </c>
      <c r="R30" s="89" t="s">
        <v>32</v>
      </c>
    </row>
    <row r="31" spans="1:22" ht="13.5" thickBot="1">
      <c r="A31" s="63"/>
      <c r="B31" s="64"/>
      <c r="C31" s="163">
        <f>B30*0.075</f>
        <v>10566.340125000002</v>
      </c>
      <c r="D31" s="164">
        <f>B30*0.025</f>
        <v>3522.1133750000008</v>
      </c>
      <c r="E31" s="64">
        <f>C31</f>
        <v>10566.340125000002</v>
      </c>
      <c r="F31" s="64">
        <f>D31</f>
        <v>3522.1133750000008</v>
      </c>
      <c r="G31" s="65"/>
      <c r="H31" s="65"/>
      <c r="I31" s="31"/>
      <c r="J31" s="165"/>
      <c r="K31" s="31"/>
      <c r="O31" s="14">
        <f t="shared" si="4"/>
        <v>22477.889374999999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-120.09699999999793</v>
      </c>
      <c r="D32" s="31">
        <f>D30-D31</f>
        <v>-2.7500000010149961E-3</v>
      </c>
      <c r="E32" s="31">
        <f>E30-E31</f>
        <v>-120.09699999999793</v>
      </c>
      <c r="F32" s="31">
        <f>F30-F31</f>
        <v>-2.7500000010149961E-3</v>
      </c>
      <c r="O32" s="14">
        <f t="shared" si="4"/>
        <v>22477.889374999999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247.88937499999884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-620.31062500000121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-620.31062500000121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-6.2500000126419764E-4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-6.2500000126419764E-4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-6.2500000126419764E-4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"/>
  <dimension ref="A1:A15"/>
  <sheetViews>
    <sheetView workbookViewId="0">
      <selection activeCell="B6" sqref="B6"/>
    </sheetView>
  </sheetViews>
  <sheetFormatPr defaultRowHeight="15"/>
  <sheetData>
    <row r="1" spans="1:1" ht="18.75">
      <c r="A1" s="124" t="s">
        <v>106</v>
      </c>
    </row>
    <row r="2" spans="1:1" ht="18.75">
      <c r="A2" s="124"/>
    </row>
    <row r="3" spans="1:1" ht="18.75">
      <c r="A3" s="124"/>
    </row>
    <row r="4" spans="1:1" ht="18.75">
      <c r="A4" s="124"/>
    </row>
    <row r="5" spans="1:1" ht="18.75">
      <c r="A5" s="124"/>
    </row>
    <row r="6" spans="1:1" ht="18.75">
      <c r="A6" s="124"/>
    </row>
    <row r="7" spans="1:1" ht="18.75">
      <c r="A7" s="124"/>
    </row>
    <row r="8" spans="1:1" ht="18.75">
      <c r="A8" s="124"/>
    </row>
    <row r="9" spans="1:1" ht="18.75">
      <c r="A9" s="124"/>
    </row>
    <row r="10" spans="1:1" ht="18.75">
      <c r="A10" s="124"/>
    </row>
    <row r="11" spans="1:1" ht="18.75">
      <c r="A11" s="124"/>
    </row>
    <row r="12" spans="1:1" ht="18.75">
      <c r="A12" s="124"/>
    </row>
    <row r="13" spans="1:1" ht="18.75">
      <c r="A13" s="124"/>
    </row>
    <row r="14" spans="1:1" ht="18.75">
      <c r="A14" s="124"/>
    </row>
    <row r="15" spans="1:1" ht="18.75">
      <c r="A15" s="124"/>
    </row>
  </sheetData>
  <customSheetViews>
    <customSheetView guid="{B51D5B49-D308-4214-86D8-9F7F021478DE}" topLeftCell="A16">
      <selection activeCell="A10" sqref="A10:XFD10"/>
      <pageMargins left="0.7" right="0.7" top="0.75" bottom="0.75" header="0.3" footer="0.3"/>
    </customSheetView>
    <customSheetView guid="{38B7F0AC-1968-4179-B248-6144E152B72B}" showPageBreaks="1" topLeftCell="A16">
      <selection activeCell="A10" sqref="A10:XFD10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WVF46"/>
  <sheetViews>
    <sheetView tabSelected="1" zoomScale="145" zoomScaleNormal="145" workbookViewId="0">
      <selection activeCell="F12" sqref="F12"/>
    </sheetView>
  </sheetViews>
  <sheetFormatPr defaultRowHeight="12.75"/>
  <cols>
    <col min="1" max="1" width="20.7109375" style="5" customWidth="1"/>
    <col min="2" max="2" width="51.85546875" style="5" customWidth="1"/>
    <col min="3" max="3" width="19.42578125" style="5" customWidth="1"/>
    <col min="4" max="4" width="9.140625" style="5"/>
    <col min="5" max="5" width="12.42578125" style="5" customWidth="1"/>
    <col min="6" max="242" width="9.140625" style="5"/>
    <col min="243" max="243" width="10.42578125" style="5" bestFit="1" customWidth="1"/>
    <col min="244" max="244" width="13.42578125" style="5" customWidth="1"/>
    <col min="245" max="245" width="12.42578125" style="5" customWidth="1"/>
    <col min="246" max="246" width="12.5703125" style="5" customWidth="1"/>
    <col min="247" max="249" width="13" style="5" customWidth="1"/>
    <col min="250" max="250" width="14.7109375" style="5" customWidth="1"/>
    <col min="251" max="254" width="9.28515625" style="5" hidden="1" customWidth="1"/>
    <col min="255" max="258" width="11.28515625" style="5" customWidth="1"/>
    <col min="259" max="259" width="19.7109375" style="5" customWidth="1"/>
    <col min="260" max="498" width="9.140625" style="5"/>
    <col min="499" max="499" width="10.42578125" style="5" bestFit="1" customWidth="1"/>
    <col min="500" max="500" width="13.42578125" style="5" customWidth="1"/>
    <col min="501" max="501" width="12.42578125" style="5" customWidth="1"/>
    <col min="502" max="502" width="12.5703125" style="5" customWidth="1"/>
    <col min="503" max="505" width="13" style="5" customWidth="1"/>
    <col min="506" max="506" width="14.7109375" style="5" customWidth="1"/>
    <col min="507" max="510" width="9.28515625" style="5" hidden="1" customWidth="1"/>
    <col min="511" max="514" width="11.28515625" style="5" customWidth="1"/>
    <col min="515" max="515" width="19.7109375" style="5" customWidth="1"/>
    <col min="516" max="754" width="9.140625" style="5"/>
    <col min="755" max="755" width="10.42578125" style="5" bestFit="1" customWidth="1"/>
    <col min="756" max="756" width="13.42578125" style="5" customWidth="1"/>
    <col min="757" max="757" width="12.42578125" style="5" customWidth="1"/>
    <col min="758" max="758" width="12.5703125" style="5" customWidth="1"/>
    <col min="759" max="761" width="13" style="5" customWidth="1"/>
    <col min="762" max="762" width="14.7109375" style="5" customWidth="1"/>
    <col min="763" max="766" width="9.28515625" style="5" hidden="1" customWidth="1"/>
    <col min="767" max="770" width="11.28515625" style="5" customWidth="1"/>
    <col min="771" max="771" width="19.7109375" style="5" customWidth="1"/>
    <col min="772" max="1010" width="9.140625" style="5"/>
    <col min="1011" max="1011" width="10.42578125" style="5" bestFit="1" customWidth="1"/>
    <col min="1012" max="1012" width="13.42578125" style="5" customWidth="1"/>
    <col min="1013" max="1013" width="12.42578125" style="5" customWidth="1"/>
    <col min="1014" max="1014" width="12.5703125" style="5" customWidth="1"/>
    <col min="1015" max="1017" width="13" style="5" customWidth="1"/>
    <col min="1018" max="1018" width="14.7109375" style="5" customWidth="1"/>
    <col min="1019" max="1022" width="9.28515625" style="5" hidden="1" customWidth="1"/>
    <col min="1023" max="1026" width="11.28515625" style="5" customWidth="1"/>
    <col min="1027" max="1027" width="19.7109375" style="5" customWidth="1"/>
    <col min="1028" max="1266" width="9.140625" style="5"/>
    <col min="1267" max="1267" width="10.42578125" style="5" bestFit="1" customWidth="1"/>
    <col min="1268" max="1268" width="13.42578125" style="5" customWidth="1"/>
    <col min="1269" max="1269" width="12.42578125" style="5" customWidth="1"/>
    <col min="1270" max="1270" width="12.5703125" style="5" customWidth="1"/>
    <col min="1271" max="1273" width="13" style="5" customWidth="1"/>
    <col min="1274" max="1274" width="14.7109375" style="5" customWidth="1"/>
    <col min="1275" max="1278" width="9.28515625" style="5" hidden="1" customWidth="1"/>
    <col min="1279" max="1282" width="11.28515625" style="5" customWidth="1"/>
    <col min="1283" max="1283" width="19.7109375" style="5" customWidth="1"/>
    <col min="1284" max="1522" width="9.140625" style="5"/>
    <col min="1523" max="1523" width="10.42578125" style="5" bestFit="1" customWidth="1"/>
    <col min="1524" max="1524" width="13.42578125" style="5" customWidth="1"/>
    <col min="1525" max="1525" width="12.42578125" style="5" customWidth="1"/>
    <col min="1526" max="1526" width="12.5703125" style="5" customWidth="1"/>
    <col min="1527" max="1529" width="13" style="5" customWidth="1"/>
    <col min="1530" max="1530" width="14.7109375" style="5" customWidth="1"/>
    <col min="1531" max="1534" width="9.28515625" style="5" hidden="1" customWidth="1"/>
    <col min="1535" max="1538" width="11.28515625" style="5" customWidth="1"/>
    <col min="1539" max="1539" width="19.7109375" style="5" customWidth="1"/>
    <col min="1540" max="1778" width="9.140625" style="5"/>
    <col min="1779" max="1779" width="10.42578125" style="5" bestFit="1" customWidth="1"/>
    <col min="1780" max="1780" width="13.42578125" style="5" customWidth="1"/>
    <col min="1781" max="1781" width="12.42578125" style="5" customWidth="1"/>
    <col min="1782" max="1782" width="12.5703125" style="5" customWidth="1"/>
    <col min="1783" max="1785" width="13" style="5" customWidth="1"/>
    <col min="1786" max="1786" width="14.7109375" style="5" customWidth="1"/>
    <col min="1787" max="1790" width="9.28515625" style="5" hidden="1" customWidth="1"/>
    <col min="1791" max="1794" width="11.28515625" style="5" customWidth="1"/>
    <col min="1795" max="1795" width="19.7109375" style="5" customWidth="1"/>
    <col min="1796" max="2034" width="9.140625" style="5"/>
    <col min="2035" max="2035" width="10.42578125" style="5" bestFit="1" customWidth="1"/>
    <col min="2036" max="2036" width="13.42578125" style="5" customWidth="1"/>
    <col min="2037" max="2037" width="12.42578125" style="5" customWidth="1"/>
    <col min="2038" max="2038" width="12.5703125" style="5" customWidth="1"/>
    <col min="2039" max="2041" width="13" style="5" customWidth="1"/>
    <col min="2042" max="2042" width="14.7109375" style="5" customWidth="1"/>
    <col min="2043" max="2046" width="9.28515625" style="5" hidden="1" customWidth="1"/>
    <col min="2047" max="2050" width="11.28515625" style="5" customWidth="1"/>
    <col min="2051" max="2051" width="19.7109375" style="5" customWidth="1"/>
    <col min="2052" max="2290" width="9.140625" style="5"/>
    <col min="2291" max="2291" width="10.42578125" style="5" bestFit="1" customWidth="1"/>
    <col min="2292" max="2292" width="13.42578125" style="5" customWidth="1"/>
    <col min="2293" max="2293" width="12.42578125" style="5" customWidth="1"/>
    <col min="2294" max="2294" width="12.5703125" style="5" customWidth="1"/>
    <col min="2295" max="2297" width="13" style="5" customWidth="1"/>
    <col min="2298" max="2298" width="14.7109375" style="5" customWidth="1"/>
    <col min="2299" max="2302" width="9.28515625" style="5" hidden="1" customWidth="1"/>
    <col min="2303" max="2306" width="11.28515625" style="5" customWidth="1"/>
    <col min="2307" max="2307" width="19.7109375" style="5" customWidth="1"/>
    <col min="2308" max="2546" width="9.140625" style="5"/>
    <col min="2547" max="2547" width="10.42578125" style="5" bestFit="1" customWidth="1"/>
    <col min="2548" max="2548" width="13.42578125" style="5" customWidth="1"/>
    <col min="2549" max="2549" width="12.42578125" style="5" customWidth="1"/>
    <col min="2550" max="2550" width="12.5703125" style="5" customWidth="1"/>
    <col min="2551" max="2553" width="13" style="5" customWidth="1"/>
    <col min="2554" max="2554" width="14.7109375" style="5" customWidth="1"/>
    <col min="2555" max="2558" width="9.28515625" style="5" hidden="1" customWidth="1"/>
    <col min="2559" max="2562" width="11.28515625" style="5" customWidth="1"/>
    <col min="2563" max="2563" width="19.7109375" style="5" customWidth="1"/>
    <col min="2564" max="2802" width="9.140625" style="5"/>
    <col min="2803" max="2803" width="10.42578125" style="5" bestFit="1" customWidth="1"/>
    <col min="2804" max="2804" width="13.42578125" style="5" customWidth="1"/>
    <col min="2805" max="2805" width="12.42578125" style="5" customWidth="1"/>
    <col min="2806" max="2806" width="12.5703125" style="5" customWidth="1"/>
    <col min="2807" max="2809" width="13" style="5" customWidth="1"/>
    <col min="2810" max="2810" width="14.7109375" style="5" customWidth="1"/>
    <col min="2811" max="2814" width="9.28515625" style="5" hidden="1" customWidth="1"/>
    <col min="2815" max="2818" width="11.28515625" style="5" customWidth="1"/>
    <col min="2819" max="2819" width="19.7109375" style="5" customWidth="1"/>
    <col min="2820" max="3058" width="9.140625" style="5"/>
    <col min="3059" max="3059" width="10.42578125" style="5" bestFit="1" customWidth="1"/>
    <col min="3060" max="3060" width="13.42578125" style="5" customWidth="1"/>
    <col min="3061" max="3061" width="12.42578125" style="5" customWidth="1"/>
    <col min="3062" max="3062" width="12.5703125" style="5" customWidth="1"/>
    <col min="3063" max="3065" width="13" style="5" customWidth="1"/>
    <col min="3066" max="3066" width="14.7109375" style="5" customWidth="1"/>
    <col min="3067" max="3070" width="9.28515625" style="5" hidden="1" customWidth="1"/>
    <col min="3071" max="3074" width="11.28515625" style="5" customWidth="1"/>
    <col min="3075" max="3075" width="19.7109375" style="5" customWidth="1"/>
    <col min="3076" max="3314" width="9.140625" style="5"/>
    <col min="3315" max="3315" width="10.42578125" style="5" bestFit="1" customWidth="1"/>
    <col min="3316" max="3316" width="13.42578125" style="5" customWidth="1"/>
    <col min="3317" max="3317" width="12.42578125" style="5" customWidth="1"/>
    <col min="3318" max="3318" width="12.5703125" style="5" customWidth="1"/>
    <col min="3319" max="3321" width="13" style="5" customWidth="1"/>
    <col min="3322" max="3322" width="14.7109375" style="5" customWidth="1"/>
    <col min="3323" max="3326" width="9.28515625" style="5" hidden="1" customWidth="1"/>
    <col min="3327" max="3330" width="11.28515625" style="5" customWidth="1"/>
    <col min="3331" max="3331" width="19.7109375" style="5" customWidth="1"/>
    <col min="3332" max="3570" width="9.140625" style="5"/>
    <col min="3571" max="3571" width="10.42578125" style="5" bestFit="1" customWidth="1"/>
    <col min="3572" max="3572" width="13.42578125" style="5" customWidth="1"/>
    <col min="3573" max="3573" width="12.42578125" style="5" customWidth="1"/>
    <col min="3574" max="3574" width="12.5703125" style="5" customWidth="1"/>
    <col min="3575" max="3577" width="13" style="5" customWidth="1"/>
    <col min="3578" max="3578" width="14.7109375" style="5" customWidth="1"/>
    <col min="3579" max="3582" width="9.28515625" style="5" hidden="1" customWidth="1"/>
    <col min="3583" max="3586" width="11.28515625" style="5" customWidth="1"/>
    <col min="3587" max="3587" width="19.7109375" style="5" customWidth="1"/>
    <col min="3588" max="3826" width="9.140625" style="5"/>
    <col min="3827" max="3827" width="10.42578125" style="5" bestFit="1" customWidth="1"/>
    <col min="3828" max="3828" width="13.42578125" style="5" customWidth="1"/>
    <col min="3829" max="3829" width="12.42578125" style="5" customWidth="1"/>
    <col min="3830" max="3830" width="12.5703125" style="5" customWidth="1"/>
    <col min="3831" max="3833" width="13" style="5" customWidth="1"/>
    <col min="3834" max="3834" width="14.7109375" style="5" customWidth="1"/>
    <col min="3835" max="3838" width="9.28515625" style="5" hidden="1" customWidth="1"/>
    <col min="3839" max="3842" width="11.28515625" style="5" customWidth="1"/>
    <col min="3843" max="3843" width="19.7109375" style="5" customWidth="1"/>
    <col min="3844" max="4082" width="9.140625" style="5"/>
    <col min="4083" max="4083" width="10.42578125" style="5" bestFit="1" customWidth="1"/>
    <col min="4084" max="4084" width="13.42578125" style="5" customWidth="1"/>
    <col min="4085" max="4085" width="12.42578125" style="5" customWidth="1"/>
    <col min="4086" max="4086" width="12.5703125" style="5" customWidth="1"/>
    <col min="4087" max="4089" width="13" style="5" customWidth="1"/>
    <col min="4090" max="4090" width="14.7109375" style="5" customWidth="1"/>
    <col min="4091" max="4094" width="9.28515625" style="5" hidden="1" customWidth="1"/>
    <col min="4095" max="4098" width="11.28515625" style="5" customWidth="1"/>
    <col min="4099" max="4099" width="19.7109375" style="5" customWidth="1"/>
    <col min="4100" max="4338" width="9.140625" style="5"/>
    <col min="4339" max="4339" width="10.42578125" style="5" bestFit="1" customWidth="1"/>
    <col min="4340" max="4340" width="13.42578125" style="5" customWidth="1"/>
    <col min="4341" max="4341" width="12.42578125" style="5" customWidth="1"/>
    <col min="4342" max="4342" width="12.5703125" style="5" customWidth="1"/>
    <col min="4343" max="4345" width="13" style="5" customWidth="1"/>
    <col min="4346" max="4346" width="14.7109375" style="5" customWidth="1"/>
    <col min="4347" max="4350" width="9.28515625" style="5" hidden="1" customWidth="1"/>
    <col min="4351" max="4354" width="11.28515625" style="5" customWidth="1"/>
    <col min="4355" max="4355" width="19.7109375" style="5" customWidth="1"/>
    <col min="4356" max="4594" width="9.140625" style="5"/>
    <col min="4595" max="4595" width="10.42578125" style="5" bestFit="1" customWidth="1"/>
    <col min="4596" max="4596" width="13.42578125" style="5" customWidth="1"/>
    <col min="4597" max="4597" width="12.42578125" style="5" customWidth="1"/>
    <col min="4598" max="4598" width="12.5703125" style="5" customWidth="1"/>
    <col min="4599" max="4601" width="13" style="5" customWidth="1"/>
    <col min="4602" max="4602" width="14.7109375" style="5" customWidth="1"/>
    <col min="4603" max="4606" width="9.28515625" style="5" hidden="1" customWidth="1"/>
    <col min="4607" max="4610" width="11.28515625" style="5" customWidth="1"/>
    <col min="4611" max="4611" width="19.7109375" style="5" customWidth="1"/>
    <col min="4612" max="4850" width="9.140625" style="5"/>
    <col min="4851" max="4851" width="10.42578125" style="5" bestFit="1" customWidth="1"/>
    <col min="4852" max="4852" width="13.42578125" style="5" customWidth="1"/>
    <col min="4853" max="4853" width="12.42578125" style="5" customWidth="1"/>
    <col min="4854" max="4854" width="12.5703125" style="5" customWidth="1"/>
    <col min="4855" max="4857" width="13" style="5" customWidth="1"/>
    <col min="4858" max="4858" width="14.7109375" style="5" customWidth="1"/>
    <col min="4859" max="4862" width="9.28515625" style="5" hidden="1" customWidth="1"/>
    <col min="4863" max="4866" width="11.28515625" style="5" customWidth="1"/>
    <col min="4867" max="4867" width="19.7109375" style="5" customWidth="1"/>
    <col min="4868" max="5106" width="9.140625" style="5"/>
    <col min="5107" max="5107" width="10.42578125" style="5" bestFit="1" customWidth="1"/>
    <col min="5108" max="5108" width="13.42578125" style="5" customWidth="1"/>
    <col min="5109" max="5109" width="12.42578125" style="5" customWidth="1"/>
    <col min="5110" max="5110" width="12.5703125" style="5" customWidth="1"/>
    <col min="5111" max="5113" width="13" style="5" customWidth="1"/>
    <col min="5114" max="5114" width="14.7109375" style="5" customWidth="1"/>
    <col min="5115" max="5118" width="9.28515625" style="5" hidden="1" customWidth="1"/>
    <col min="5119" max="5122" width="11.28515625" style="5" customWidth="1"/>
    <col min="5123" max="5123" width="19.7109375" style="5" customWidth="1"/>
    <col min="5124" max="5362" width="9.140625" style="5"/>
    <col min="5363" max="5363" width="10.42578125" style="5" bestFit="1" customWidth="1"/>
    <col min="5364" max="5364" width="13.42578125" style="5" customWidth="1"/>
    <col min="5365" max="5365" width="12.42578125" style="5" customWidth="1"/>
    <col min="5366" max="5366" width="12.5703125" style="5" customWidth="1"/>
    <col min="5367" max="5369" width="13" style="5" customWidth="1"/>
    <col min="5370" max="5370" width="14.7109375" style="5" customWidth="1"/>
    <col min="5371" max="5374" width="9.28515625" style="5" hidden="1" customWidth="1"/>
    <col min="5375" max="5378" width="11.28515625" style="5" customWidth="1"/>
    <col min="5379" max="5379" width="19.7109375" style="5" customWidth="1"/>
    <col min="5380" max="5618" width="9.140625" style="5"/>
    <col min="5619" max="5619" width="10.42578125" style="5" bestFit="1" customWidth="1"/>
    <col min="5620" max="5620" width="13.42578125" style="5" customWidth="1"/>
    <col min="5621" max="5621" width="12.42578125" style="5" customWidth="1"/>
    <col min="5622" max="5622" width="12.5703125" style="5" customWidth="1"/>
    <col min="5623" max="5625" width="13" style="5" customWidth="1"/>
    <col min="5626" max="5626" width="14.7109375" style="5" customWidth="1"/>
    <col min="5627" max="5630" width="9.28515625" style="5" hidden="1" customWidth="1"/>
    <col min="5631" max="5634" width="11.28515625" style="5" customWidth="1"/>
    <col min="5635" max="5635" width="19.7109375" style="5" customWidth="1"/>
    <col min="5636" max="5874" width="9.140625" style="5"/>
    <col min="5875" max="5875" width="10.42578125" style="5" bestFit="1" customWidth="1"/>
    <col min="5876" max="5876" width="13.42578125" style="5" customWidth="1"/>
    <col min="5877" max="5877" width="12.42578125" style="5" customWidth="1"/>
    <col min="5878" max="5878" width="12.5703125" style="5" customWidth="1"/>
    <col min="5879" max="5881" width="13" style="5" customWidth="1"/>
    <col min="5882" max="5882" width="14.7109375" style="5" customWidth="1"/>
    <col min="5883" max="5886" width="9.28515625" style="5" hidden="1" customWidth="1"/>
    <col min="5887" max="5890" width="11.28515625" style="5" customWidth="1"/>
    <col min="5891" max="5891" width="19.7109375" style="5" customWidth="1"/>
    <col min="5892" max="6130" width="9.140625" style="5"/>
    <col min="6131" max="6131" width="10.42578125" style="5" bestFit="1" customWidth="1"/>
    <col min="6132" max="6132" width="13.42578125" style="5" customWidth="1"/>
    <col min="6133" max="6133" width="12.42578125" style="5" customWidth="1"/>
    <col min="6134" max="6134" width="12.5703125" style="5" customWidth="1"/>
    <col min="6135" max="6137" width="13" style="5" customWidth="1"/>
    <col min="6138" max="6138" width="14.7109375" style="5" customWidth="1"/>
    <col min="6139" max="6142" width="9.28515625" style="5" hidden="1" customWidth="1"/>
    <col min="6143" max="6146" width="11.28515625" style="5" customWidth="1"/>
    <col min="6147" max="6147" width="19.7109375" style="5" customWidth="1"/>
    <col min="6148" max="6386" width="9.140625" style="5"/>
    <col min="6387" max="6387" width="10.42578125" style="5" bestFit="1" customWidth="1"/>
    <col min="6388" max="6388" width="13.42578125" style="5" customWidth="1"/>
    <col min="6389" max="6389" width="12.42578125" style="5" customWidth="1"/>
    <col min="6390" max="6390" width="12.5703125" style="5" customWidth="1"/>
    <col min="6391" max="6393" width="13" style="5" customWidth="1"/>
    <col min="6394" max="6394" width="14.7109375" style="5" customWidth="1"/>
    <col min="6395" max="6398" width="9.28515625" style="5" hidden="1" customWidth="1"/>
    <col min="6399" max="6402" width="11.28515625" style="5" customWidth="1"/>
    <col min="6403" max="6403" width="19.7109375" style="5" customWidth="1"/>
    <col min="6404" max="6642" width="9.140625" style="5"/>
    <col min="6643" max="6643" width="10.42578125" style="5" bestFit="1" customWidth="1"/>
    <col min="6644" max="6644" width="13.42578125" style="5" customWidth="1"/>
    <col min="6645" max="6645" width="12.42578125" style="5" customWidth="1"/>
    <col min="6646" max="6646" width="12.5703125" style="5" customWidth="1"/>
    <col min="6647" max="6649" width="13" style="5" customWidth="1"/>
    <col min="6650" max="6650" width="14.7109375" style="5" customWidth="1"/>
    <col min="6651" max="6654" width="9.28515625" style="5" hidden="1" customWidth="1"/>
    <col min="6655" max="6658" width="11.28515625" style="5" customWidth="1"/>
    <col min="6659" max="6659" width="19.7109375" style="5" customWidth="1"/>
    <col min="6660" max="6898" width="9.140625" style="5"/>
    <col min="6899" max="6899" width="10.42578125" style="5" bestFit="1" customWidth="1"/>
    <col min="6900" max="6900" width="13.42578125" style="5" customWidth="1"/>
    <col min="6901" max="6901" width="12.42578125" style="5" customWidth="1"/>
    <col min="6902" max="6902" width="12.5703125" style="5" customWidth="1"/>
    <col min="6903" max="6905" width="13" style="5" customWidth="1"/>
    <col min="6906" max="6906" width="14.7109375" style="5" customWidth="1"/>
    <col min="6907" max="6910" width="9.28515625" style="5" hidden="1" customWidth="1"/>
    <col min="6911" max="6914" width="11.28515625" style="5" customWidth="1"/>
    <col min="6915" max="6915" width="19.7109375" style="5" customWidth="1"/>
    <col min="6916" max="7154" width="9.140625" style="5"/>
    <col min="7155" max="7155" width="10.42578125" style="5" bestFit="1" customWidth="1"/>
    <col min="7156" max="7156" width="13.42578125" style="5" customWidth="1"/>
    <col min="7157" max="7157" width="12.42578125" style="5" customWidth="1"/>
    <col min="7158" max="7158" width="12.5703125" style="5" customWidth="1"/>
    <col min="7159" max="7161" width="13" style="5" customWidth="1"/>
    <col min="7162" max="7162" width="14.7109375" style="5" customWidth="1"/>
    <col min="7163" max="7166" width="9.28515625" style="5" hidden="1" customWidth="1"/>
    <col min="7167" max="7170" width="11.28515625" style="5" customWidth="1"/>
    <col min="7171" max="7171" width="19.7109375" style="5" customWidth="1"/>
    <col min="7172" max="7410" width="9.140625" style="5"/>
    <col min="7411" max="7411" width="10.42578125" style="5" bestFit="1" customWidth="1"/>
    <col min="7412" max="7412" width="13.42578125" style="5" customWidth="1"/>
    <col min="7413" max="7413" width="12.42578125" style="5" customWidth="1"/>
    <col min="7414" max="7414" width="12.5703125" style="5" customWidth="1"/>
    <col min="7415" max="7417" width="13" style="5" customWidth="1"/>
    <col min="7418" max="7418" width="14.7109375" style="5" customWidth="1"/>
    <col min="7419" max="7422" width="9.28515625" style="5" hidden="1" customWidth="1"/>
    <col min="7423" max="7426" width="11.28515625" style="5" customWidth="1"/>
    <col min="7427" max="7427" width="19.7109375" style="5" customWidth="1"/>
    <col min="7428" max="7666" width="9.140625" style="5"/>
    <col min="7667" max="7667" width="10.42578125" style="5" bestFit="1" customWidth="1"/>
    <col min="7668" max="7668" width="13.42578125" style="5" customWidth="1"/>
    <col min="7669" max="7669" width="12.42578125" style="5" customWidth="1"/>
    <col min="7670" max="7670" width="12.5703125" style="5" customWidth="1"/>
    <col min="7671" max="7673" width="13" style="5" customWidth="1"/>
    <col min="7674" max="7674" width="14.7109375" style="5" customWidth="1"/>
    <col min="7675" max="7678" width="9.28515625" style="5" hidden="1" customWidth="1"/>
    <col min="7679" max="7682" width="11.28515625" style="5" customWidth="1"/>
    <col min="7683" max="7683" width="19.7109375" style="5" customWidth="1"/>
    <col min="7684" max="7922" width="9.140625" style="5"/>
    <col min="7923" max="7923" width="10.42578125" style="5" bestFit="1" customWidth="1"/>
    <col min="7924" max="7924" width="13.42578125" style="5" customWidth="1"/>
    <col min="7925" max="7925" width="12.42578125" style="5" customWidth="1"/>
    <col min="7926" max="7926" width="12.5703125" style="5" customWidth="1"/>
    <col min="7927" max="7929" width="13" style="5" customWidth="1"/>
    <col min="7930" max="7930" width="14.7109375" style="5" customWidth="1"/>
    <col min="7931" max="7934" width="9.28515625" style="5" hidden="1" customWidth="1"/>
    <col min="7935" max="7938" width="11.28515625" style="5" customWidth="1"/>
    <col min="7939" max="7939" width="19.7109375" style="5" customWidth="1"/>
    <col min="7940" max="8178" width="9.140625" style="5"/>
    <col min="8179" max="8179" width="10.42578125" style="5" bestFit="1" customWidth="1"/>
    <col min="8180" max="8180" width="13.42578125" style="5" customWidth="1"/>
    <col min="8181" max="8181" width="12.42578125" style="5" customWidth="1"/>
    <col min="8182" max="8182" width="12.5703125" style="5" customWidth="1"/>
    <col min="8183" max="8185" width="13" style="5" customWidth="1"/>
    <col min="8186" max="8186" width="14.7109375" style="5" customWidth="1"/>
    <col min="8187" max="8190" width="9.28515625" style="5" hidden="1" customWidth="1"/>
    <col min="8191" max="8194" width="11.28515625" style="5" customWidth="1"/>
    <col min="8195" max="8195" width="19.7109375" style="5" customWidth="1"/>
    <col min="8196" max="8434" width="9.140625" style="5"/>
    <col min="8435" max="8435" width="10.42578125" style="5" bestFit="1" customWidth="1"/>
    <col min="8436" max="8436" width="13.42578125" style="5" customWidth="1"/>
    <col min="8437" max="8437" width="12.42578125" style="5" customWidth="1"/>
    <col min="8438" max="8438" width="12.5703125" style="5" customWidth="1"/>
    <col min="8439" max="8441" width="13" style="5" customWidth="1"/>
    <col min="8442" max="8442" width="14.7109375" style="5" customWidth="1"/>
    <col min="8443" max="8446" width="9.28515625" style="5" hidden="1" customWidth="1"/>
    <col min="8447" max="8450" width="11.28515625" style="5" customWidth="1"/>
    <col min="8451" max="8451" width="19.7109375" style="5" customWidth="1"/>
    <col min="8452" max="8690" width="9.140625" style="5"/>
    <col min="8691" max="8691" width="10.42578125" style="5" bestFit="1" customWidth="1"/>
    <col min="8692" max="8692" width="13.42578125" style="5" customWidth="1"/>
    <col min="8693" max="8693" width="12.42578125" style="5" customWidth="1"/>
    <col min="8694" max="8694" width="12.5703125" style="5" customWidth="1"/>
    <col min="8695" max="8697" width="13" style="5" customWidth="1"/>
    <col min="8698" max="8698" width="14.7109375" style="5" customWidth="1"/>
    <col min="8699" max="8702" width="9.28515625" style="5" hidden="1" customWidth="1"/>
    <col min="8703" max="8706" width="11.28515625" style="5" customWidth="1"/>
    <col min="8707" max="8707" width="19.7109375" style="5" customWidth="1"/>
    <col min="8708" max="8946" width="9.140625" style="5"/>
    <col min="8947" max="8947" width="10.42578125" style="5" bestFit="1" customWidth="1"/>
    <col min="8948" max="8948" width="13.42578125" style="5" customWidth="1"/>
    <col min="8949" max="8949" width="12.42578125" style="5" customWidth="1"/>
    <col min="8950" max="8950" width="12.5703125" style="5" customWidth="1"/>
    <col min="8951" max="8953" width="13" style="5" customWidth="1"/>
    <col min="8954" max="8954" width="14.7109375" style="5" customWidth="1"/>
    <col min="8955" max="8958" width="9.28515625" style="5" hidden="1" customWidth="1"/>
    <col min="8959" max="8962" width="11.28515625" style="5" customWidth="1"/>
    <col min="8963" max="8963" width="19.7109375" style="5" customWidth="1"/>
    <col min="8964" max="9202" width="9.140625" style="5"/>
    <col min="9203" max="9203" width="10.42578125" style="5" bestFit="1" customWidth="1"/>
    <col min="9204" max="9204" width="13.42578125" style="5" customWidth="1"/>
    <col min="9205" max="9205" width="12.42578125" style="5" customWidth="1"/>
    <col min="9206" max="9206" width="12.5703125" style="5" customWidth="1"/>
    <col min="9207" max="9209" width="13" style="5" customWidth="1"/>
    <col min="9210" max="9210" width="14.7109375" style="5" customWidth="1"/>
    <col min="9211" max="9214" width="9.28515625" style="5" hidden="1" customWidth="1"/>
    <col min="9215" max="9218" width="11.28515625" style="5" customWidth="1"/>
    <col min="9219" max="9219" width="19.7109375" style="5" customWidth="1"/>
    <col min="9220" max="9458" width="9.140625" style="5"/>
    <col min="9459" max="9459" width="10.42578125" style="5" bestFit="1" customWidth="1"/>
    <col min="9460" max="9460" width="13.42578125" style="5" customWidth="1"/>
    <col min="9461" max="9461" width="12.42578125" style="5" customWidth="1"/>
    <col min="9462" max="9462" width="12.5703125" style="5" customWidth="1"/>
    <col min="9463" max="9465" width="13" style="5" customWidth="1"/>
    <col min="9466" max="9466" width="14.7109375" style="5" customWidth="1"/>
    <col min="9467" max="9470" width="9.28515625" style="5" hidden="1" customWidth="1"/>
    <col min="9471" max="9474" width="11.28515625" style="5" customWidth="1"/>
    <col min="9475" max="9475" width="19.7109375" style="5" customWidth="1"/>
    <col min="9476" max="9714" width="9.140625" style="5"/>
    <col min="9715" max="9715" width="10.42578125" style="5" bestFit="1" customWidth="1"/>
    <col min="9716" max="9716" width="13.42578125" style="5" customWidth="1"/>
    <col min="9717" max="9717" width="12.42578125" style="5" customWidth="1"/>
    <col min="9718" max="9718" width="12.5703125" style="5" customWidth="1"/>
    <col min="9719" max="9721" width="13" style="5" customWidth="1"/>
    <col min="9722" max="9722" width="14.7109375" style="5" customWidth="1"/>
    <col min="9723" max="9726" width="9.28515625" style="5" hidden="1" customWidth="1"/>
    <col min="9727" max="9730" width="11.28515625" style="5" customWidth="1"/>
    <col min="9731" max="9731" width="19.7109375" style="5" customWidth="1"/>
    <col min="9732" max="9970" width="9.140625" style="5"/>
    <col min="9971" max="9971" width="10.42578125" style="5" bestFit="1" customWidth="1"/>
    <col min="9972" max="9972" width="13.42578125" style="5" customWidth="1"/>
    <col min="9973" max="9973" width="12.42578125" style="5" customWidth="1"/>
    <col min="9974" max="9974" width="12.5703125" style="5" customWidth="1"/>
    <col min="9975" max="9977" width="13" style="5" customWidth="1"/>
    <col min="9978" max="9978" width="14.7109375" style="5" customWidth="1"/>
    <col min="9979" max="9982" width="9.28515625" style="5" hidden="1" customWidth="1"/>
    <col min="9983" max="9986" width="11.28515625" style="5" customWidth="1"/>
    <col min="9987" max="9987" width="19.7109375" style="5" customWidth="1"/>
    <col min="9988" max="10226" width="9.140625" style="5"/>
    <col min="10227" max="10227" width="10.42578125" style="5" bestFit="1" customWidth="1"/>
    <col min="10228" max="10228" width="13.42578125" style="5" customWidth="1"/>
    <col min="10229" max="10229" width="12.42578125" style="5" customWidth="1"/>
    <col min="10230" max="10230" width="12.5703125" style="5" customWidth="1"/>
    <col min="10231" max="10233" width="13" style="5" customWidth="1"/>
    <col min="10234" max="10234" width="14.7109375" style="5" customWidth="1"/>
    <col min="10235" max="10238" width="9.28515625" style="5" hidden="1" customWidth="1"/>
    <col min="10239" max="10242" width="11.28515625" style="5" customWidth="1"/>
    <col min="10243" max="10243" width="19.7109375" style="5" customWidth="1"/>
    <col min="10244" max="10482" width="9.140625" style="5"/>
    <col min="10483" max="10483" width="10.42578125" style="5" bestFit="1" customWidth="1"/>
    <col min="10484" max="10484" width="13.42578125" style="5" customWidth="1"/>
    <col min="10485" max="10485" width="12.42578125" style="5" customWidth="1"/>
    <col min="10486" max="10486" width="12.5703125" style="5" customWidth="1"/>
    <col min="10487" max="10489" width="13" style="5" customWidth="1"/>
    <col min="10490" max="10490" width="14.7109375" style="5" customWidth="1"/>
    <col min="10491" max="10494" width="9.28515625" style="5" hidden="1" customWidth="1"/>
    <col min="10495" max="10498" width="11.28515625" style="5" customWidth="1"/>
    <col min="10499" max="10499" width="19.7109375" style="5" customWidth="1"/>
    <col min="10500" max="10738" width="9.140625" style="5"/>
    <col min="10739" max="10739" width="10.42578125" style="5" bestFit="1" customWidth="1"/>
    <col min="10740" max="10740" width="13.42578125" style="5" customWidth="1"/>
    <col min="10741" max="10741" width="12.42578125" style="5" customWidth="1"/>
    <col min="10742" max="10742" width="12.5703125" style="5" customWidth="1"/>
    <col min="10743" max="10745" width="13" style="5" customWidth="1"/>
    <col min="10746" max="10746" width="14.7109375" style="5" customWidth="1"/>
    <col min="10747" max="10750" width="9.28515625" style="5" hidden="1" customWidth="1"/>
    <col min="10751" max="10754" width="11.28515625" style="5" customWidth="1"/>
    <col min="10755" max="10755" width="19.7109375" style="5" customWidth="1"/>
    <col min="10756" max="10994" width="9.140625" style="5"/>
    <col min="10995" max="10995" width="10.42578125" style="5" bestFit="1" customWidth="1"/>
    <col min="10996" max="10996" width="13.42578125" style="5" customWidth="1"/>
    <col min="10997" max="10997" width="12.42578125" style="5" customWidth="1"/>
    <col min="10998" max="10998" width="12.5703125" style="5" customWidth="1"/>
    <col min="10999" max="11001" width="13" style="5" customWidth="1"/>
    <col min="11002" max="11002" width="14.7109375" style="5" customWidth="1"/>
    <col min="11003" max="11006" width="9.28515625" style="5" hidden="1" customWidth="1"/>
    <col min="11007" max="11010" width="11.28515625" style="5" customWidth="1"/>
    <col min="11011" max="11011" width="19.7109375" style="5" customWidth="1"/>
    <col min="11012" max="11250" width="9.140625" style="5"/>
    <col min="11251" max="11251" width="10.42578125" style="5" bestFit="1" customWidth="1"/>
    <col min="11252" max="11252" width="13.42578125" style="5" customWidth="1"/>
    <col min="11253" max="11253" width="12.42578125" style="5" customWidth="1"/>
    <col min="11254" max="11254" width="12.5703125" style="5" customWidth="1"/>
    <col min="11255" max="11257" width="13" style="5" customWidth="1"/>
    <col min="11258" max="11258" width="14.7109375" style="5" customWidth="1"/>
    <col min="11259" max="11262" width="9.28515625" style="5" hidden="1" customWidth="1"/>
    <col min="11263" max="11266" width="11.28515625" style="5" customWidth="1"/>
    <col min="11267" max="11267" width="19.7109375" style="5" customWidth="1"/>
    <col min="11268" max="11506" width="9.140625" style="5"/>
    <col min="11507" max="11507" width="10.42578125" style="5" bestFit="1" customWidth="1"/>
    <col min="11508" max="11508" width="13.42578125" style="5" customWidth="1"/>
    <col min="11509" max="11509" width="12.42578125" style="5" customWidth="1"/>
    <col min="11510" max="11510" width="12.5703125" style="5" customWidth="1"/>
    <col min="11511" max="11513" width="13" style="5" customWidth="1"/>
    <col min="11514" max="11514" width="14.7109375" style="5" customWidth="1"/>
    <col min="11515" max="11518" width="9.28515625" style="5" hidden="1" customWidth="1"/>
    <col min="11519" max="11522" width="11.28515625" style="5" customWidth="1"/>
    <col min="11523" max="11523" width="19.7109375" style="5" customWidth="1"/>
    <col min="11524" max="11762" width="9.140625" style="5"/>
    <col min="11763" max="11763" width="10.42578125" style="5" bestFit="1" customWidth="1"/>
    <col min="11764" max="11764" width="13.42578125" style="5" customWidth="1"/>
    <col min="11765" max="11765" width="12.42578125" style="5" customWidth="1"/>
    <col min="11766" max="11766" width="12.5703125" style="5" customWidth="1"/>
    <col min="11767" max="11769" width="13" style="5" customWidth="1"/>
    <col min="11770" max="11770" width="14.7109375" style="5" customWidth="1"/>
    <col min="11771" max="11774" width="9.28515625" style="5" hidden="1" customWidth="1"/>
    <col min="11775" max="11778" width="11.28515625" style="5" customWidth="1"/>
    <col min="11779" max="11779" width="19.7109375" style="5" customWidth="1"/>
    <col min="11780" max="12018" width="9.140625" style="5"/>
    <col min="12019" max="12019" width="10.42578125" style="5" bestFit="1" customWidth="1"/>
    <col min="12020" max="12020" width="13.42578125" style="5" customWidth="1"/>
    <col min="12021" max="12021" width="12.42578125" style="5" customWidth="1"/>
    <col min="12022" max="12022" width="12.5703125" style="5" customWidth="1"/>
    <col min="12023" max="12025" width="13" style="5" customWidth="1"/>
    <col min="12026" max="12026" width="14.7109375" style="5" customWidth="1"/>
    <col min="12027" max="12030" width="9.28515625" style="5" hidden="1" customWidth="1"/>
    <col min="12031" max="12034" width="11.28515625" style="5" customWidth="1"/>
    <col min="12035" max="12035" width="19.7109375" style="5" customWidth="1"/>
    <col min="12036" max="12274" width="9.140625" style="5"/>
    <col min="12275" max="12275" width="10.42578125" style="5" bestFit="1" customWidth="1"/>
    <col min="12276" max="12276" width="13.42578125" style="5" customWidth="1"/>
    <col min="12277" max="12277" width="12.42578125" style="5" customWidth="1"/>
    <col min="12278" max="12278" width="12.5703125" style="5" customWidth="1"/>
    <col min="12279" max="12281" width="13" style="5" customWidth="1"/>
    <col min="12282" max="12282" width="14.7109375" style="5" customWidth="1"/>
    <col min="12283" max="12286" width="9.28515625" style="5" hidden="1" customWidth="1"/>
    <col min="12287" max="12290" width="11.28515625" style="5" customWidth="1"/>
    <col min="12291" max="12291" width="19.7109375" style="5" customWidth="1"/>
    <col min="12292" max="12530" width="9.140625" style="5"/>
    <col min="12531" max="12531" width="10.42578125" style="5" bestFit="1" customWidth="1"/>
    <col min="12532" max="12532" width="13.42578125" style="5" customWidth="1"/>
    <col min="12533" max="12533" width="12.42578125" style="5" customWidth="1"/>
    <col min="12534" max="12534" width="12.5703125" style="5" customWidth="1"/>
    <col min="12535" max="12537" width="13" style="5" customWidth="1"/>
    <col min="12538" max="12538" width="14.7109375" style="5" customWidth="1"/>
    <col min="12539" max="12542" width="9.28515625" style="5" hidden="1" customWidth="1"/>
    <col min="12543" max="12546" width="11.28515625" style="5" customWidth="1"/>
    <col min="12547" max="12547" width="19.7109375" style="5" customWidth="1"/>
    <col min="12548" max="12786" width="9.140625" style="5"/>
    <col min="12787" max="12787" width="10.42578125" style="5" bestFit="1" customWidth="1"/>
    <col min="12788" max="12788" width="13.42578125" style="5" customWidth="1"/>
    <col min="12789" max="12789" width="12.42578125" style="5" customWidth="1"/>
    <col min="12790" max="12790" width="12.5703125" style="5" customWidth="1"/>
    <col min="12791" max="12793" width="13" style="5" customWidth="1"/>
    <col min="12794" max="12794" width="14.7109375" style="5" customWidth="1"/>
    <col min="12795" max="12798" width="9.28515625" style="5" hidden="1" customWidth="1"/>
    <col min="12799" max="12802" width="11.28515625" style="5" customWidth="1"/>
    <col min="12803" max="12803" width="19.7109375" style="5" customWidth="1"/>
    <col min="12804" max="13042" width="9.140625" style="5"/>
    <col min="13043" max="13043" width="10.42578125" style="5" bestFit="1" customWidth="1"/>
    <col min="13044" max="13044" width="13.42578125" style="5" customWidth="1"/>
    <col min="13045" max="13045" width="12.42578125" style="5" customWidth="1"/>
    <col min="13046" max="13046" width="12.5703125" style="5" customWidth="1"/>
    <col min="13047" max="13049" width="13" style="5" customWidth="1"/>
    <col min="13050" max="13050" width="14.7109375" style="5" customWidth="1"/>
    <col min="13051" max="13054" width="9.28515625" style="5" hidden="1" customWidth="1"/>
    <col min="13055" max="13058" width="11.28515625" style="5" customWidth="1"/>
    <col min="13059" max="13059" width="19.7109375" style="5" customWidth="1"/>
    <col min="13060" max="13298" width="9.140625" style="5"/>
    <col min="13299" max="13299" width="10.42578125" style="5" bestFit="1" customWidth="1"/>
    <col min="13300" max="13300" width="13.42578125" style="5" customWidth="1"/>
    <col min="13301" max="13301" width="12.42578125" style="5" customWidth="1"/>
    <col min="13302" max="13302" width="12.5703125" style="5" customWidth="1"/>
    <col min="13303" max="13305" width="13" style="5" customWidth="1"/>
    <col min="13306" max="13306" width="14.7109375" style="5" customWidth="1"/>
    <col min="13307" max="13310" width="9.28515625" style="5" hidden="1" customWidth="1"/>
    <col min="13311" max="13314" width="11.28515625" style="5" customWidth="1"/>
    <col min="13315" max="13315" width="19.7109375" style="5" customWidth="1"/>
    <col min="13316" max="13554" width="9.140625" style="5"/>
    <col min="13555" max="13555" width="10.42578125" style="5" bestFit="1" customWidth="1"/>
    <col min="13556" max="13556" width="13.42578125" style="5" customWidth="1"/>
    <col min="13557" max="13557" width="12.42578125" style="5" customWidth="1"/>
    <col min="13558" max="13558" width="12.5703125" style="5" customWidth="1"/>
    <col min="13559" max="13561" width="13" style="5" customWidth="1"/>
    <col min="13562" max="13562" width="14.7109375" style="5" customWidth="1"/>
    <col min="13563" max="13566" width="9.28515625" style="5" hidden="1" customWidth="1"/>
    <col min="13567" max="13570" width="11.28515625" style="5" customWidth="1"/>
    <col min="13571" max="13571" width="19.7109375" style="5" customWidth="1"/>
    <col min="13572" max="13810" width="9.140625" style="5"/>
    <col min="13811" max="13811" width="10.42578125" style="5" bestFit="1" customWidth="1"/>
    <col min="13812" max="13812" width="13.42578125" style="5" customWidth="1"/>
    <col min="13813" max="13813" width="12.42578125" style="5" customWidth="1"/>
    <col min="13814" max="13814" width="12.5703125" style="5" customWidth="1"/>
    <col min="13815" max="13817" width="13" style="5" customWidth="1"/>
    <col min="13818" max="13818" width="14.7109375" style="5" customWidth="1"/>
    <col min="13819" max="13822" width="9.28515625" style="5" hidden="1" customWidth="1"/>
    <col min="13823" max="13826" width="11.28515625" style="5" customWidth="1"/>
    <col min="13827" max="13827" width="19.7109375" style="5" customWidth="1"/>
    <col min="13828" max="14066" width="9.140625" style="5"/>
    <col min="14067" max="14067" width="10.42578125" style="5" bestFit="1" customWidth="1"/>
    <col min="14068" max="14068" width="13.42578125" style="5" customWidth="1"/>
    <col min="14069" max="14069" width="12.42578125" style="5" customWidth="1"/>
    <col min="14070" max="14070" width="12.5703125" style="5" customWidth="1"/>
    <col min="14071" max="14073" width="13" style="5" customWidth="1"/>
    <col min="14074" max="14074" width="14.7109375" style="5" customWidth="1"/>
    <col min="14075" max="14078" width="9.28515625" style="5" hidden="1" customWidth="1"/>
    <col min="14079" max="14082" width="11.28515625" style="5" customWidth="1"/>
    <col min="14083" max="14083" width="19.7109375" style="5" customWidth="1"/>
    <col min="14084" max="14322" width="9.140625" style="5"/>
    <col min="14323" max="14323" width="10.42578125" style="5" bestFit="1" customWidth="1"/>
    <col min="14324" max="14324" width="13.42578125" style="5" customWidth="1"/>
    <col min="14325" max="14325" width="12.42578125" style="5" customWidth="1"/>
    <col min="14326" max="14326" width="12.5703125" style="5" customWidth="1"/>
    <col min="14327" max="14329" width="13" style="5" customWidth="1"/>
    <col min="14330" max="14330" width="14.7109375" style="5" customWidth="1"/>
    <col min="14331" max="14334" width="9.28515625" style="5" hidden="1" customWidth="1"/>
    <col min="14335" max="14338" width="11.28515625" style="5" customWidth="1"/>
    <col min="14339" max="14339" width="19.7109375" style="5" customWidth="1"/>
    <col min="14340" max="14578" width="9.140625" style="5"/>
    <col min="14579" max="14579" width="10.42578125" style="5" bestFit="1" customWidth="1"/>
    <col min="14580" max="14580" width="13.42578125" style="5" customWidth="1"/>
    <col min="14581" max="14581" width="12.42578125" style="5" customWidth="1"/>
    <col min="14582" max="14582" width="12.5703125" style="5" customWidth="1"/>
    <col min="14583" max="14585" width="13" style="5" customWidth="1"/>
    <col min="14586" max="14586" width="14.7109375" style="5" customWidth="1"/>
    <col min="14587" max="14590" width="9.28515625" style="5" hidden="1" customWidth="1"/>
    <col min="14591" max="14594" width="11.28515625" style="5" customWidth="1"/>
    <col min="14595" max="14595" width="19.7109375" style="5" customWidth="1"/>
    <col min="14596" max="14834" width="9.140625" style="5"/>
    <col min="14835" max="14835" width="10.42578125" style="5" bestFit="1" customWidth="1"/>
    <col min="14836" max="14836" width="13.42578125" style="5" customWidth="1"/>
    <col min="14837" max="14837" width="12.42578125" style="5" customWidth="1"/>
    <col min="14838" max="14838" width="12.5703125" style="5" customWidth="1"/>
    <col min="14839" max="14841" width="13" style="5" customWidth="1"/>
    <col min="14842" max="14842" width="14.7109375" style="5" customWidth="1"/>
    <col min="14843" max="14846" width="9.28515625" style="5" hidden="1" customWidth="1"/>
    <col min="14847" max="14850" width="11.28515625" style="5" customWidth="1"/>
    <col min="14851" max="14851" width="19.7109375" style="5" customWidth="1"/>
    <col min="14852" max="15090" width="9.140625" style="5"/>
    <col min="15091" max="15091" width="10.42578125" style="5" bestFit="1" customWidth="1"/>
    <col min="15092" max="15092" width="13.42578125" style="5" customWidth="1"/>
    <col min="15093" max="15093" width="12.42578125" style="5" customWidth="1"/>
    <col min="15094" max="15094" width="12.5703125" style="5" customWidth="1"/>
    <col min="15095" max="15097" width="13" style="5" customWidth="1"/>
    <col min="15098" max="15098" width="14.7109375" style="5" customWidth="1"/>
    <col min="15099" max="15102" width="9.28515625" style="5" hidden="1" customWidth="1"/>
    <col min="15103" max="15106" width="11.28515625" style="5" customWidth="1"/>
    <col min="15107" max="15107" width="19.7109375" style="5" customWidth="1"/>
    <col min="15108" max="15346" width="9.140625" style="5"/>
    <col min="15347" max="15347" width="10.42578125" style="5" bestFit="1" customWidth="1"/>
    <col min="15348" max="15348" width="13.42578125" style="5" customWidth="1"/>
    <col min="15349" max="15349" width="12.42578125" style="5" customWidth="1"/>
    <col min="15350" max="15350" width="12.5703125" style="5" customWidth="1"/>
    <col min="15351" max="15353" width="13" style="5" customWidth="1"/>
    <col min="15354" max="15354" width="14.7109375" style="5" customWidth="1"/>
    <col min="15355" max="15358" width="9.28515625" style="5" hidden="1" customWidth="1"/>
    <col min="15359" max="15362" width="11.28515625" style="5" customWidth="1"/>
    <col min="15363" max="15363" width="19.7109375" style="5" customWidth="1"/>
    <col min="15364" max="15602" width="9.140625" style="5"/>
    <col min="15603" max="15603" width="10.42578125" style="5" bestFit="1" customWidth="1"/>
    <col min="15604" max="15604" width="13.42578125" style="5" customWidth="1"/>
    <col min="15605" max="15605" width="12.42578125" style="5" customWidth="1"/>
    <col min="15606" max="15606" width="12.5703125" style="5" customWidth="1"/>
    <col min="15607" max="15609" width="13" style="5" customWidth="1"/>
    <col min="15610" max="15610" width="14.7109375" style="5" customWidth="1"/>
    <col min="15611" max="15614" width="9.28515625" style="5" hidden="1" customWidth="1"/>
    <col min="15615" max="15618" width="11.28515625" style="5" customWidth="1"/>
    <col min="15619" max="15619" width="19.7109375" style="5" customWidth="1"/>
    <col min="15620" max="15858" width="9.140625" style="5"/>
    <col min="15859" max="15859" width="10.42578125" style="5" bestFit="1" customWidth="1"/>
    <col min="15860" max="15860" width="13.42578125" style="5" customWidth="1"/>
    <col min="15861" max="15861" width="12.42578125" style="5" customWidth="1"/>
    <col min="15862" max="15862" width="12.5703125" style="5" customWidth="1"/>
    <col min="15863" max="15865" width="13" style="5" customWidth="1"/>
    <col min="15866" max="15866" width="14.7109375" style="5" customWidth="1"/>
    <col min="15867" max="15870" width="9.28515625" style="5" hidden="1" customWidth="1"/>
    <col min="15871" max="15874" width="11.28515625" style="5" customWidth="1"/>
    <col min="15875" max="15875" width="19.7109375" style="5" customWidth="1"/>
    <col min="15876" max="16114" width="9.140625" style="5"/>
    <col min="16115" max="16115" width="10.42578125" style="5" bestFit="1" customWidth="1"/>
    <col min="16116" max="16116" width="13.42578125" style="5" customWidth="1"/>
    <col min="16117" max="16117" width="12.42578125" style="5" customWidth="1"/>
    <col min="16118" max="16118" width="12.5703125" style="5" customWidth="1"/>
    <col min="16119" max="16121" width="13" style="5" customWidth="1"/>
    <col min="16122" max="16122" width="14.7109375" style="5" customWidth="1"/>
    <col min="16123" max="16126" width="9.28515625" style="5" hidden="1" customWidth="1"/>
    <col min="16127" max="16130" width="11.28515625" style="5" customWidth="1"/>
    <col min="16131" max="16131" width="19.7109375" style="5" customWidth="1"/>
    <col min="16132" max="16384" width="9.140625" style="5"/>
  </cols>
  <sheetData>
    <row r="1" spans="1:5" customFormat="1" ht="15" customHeight="1">
      <c r="A1" s="218"/>
      <c r="B1" s="218"/>
      <c r="C1" s="218"/>
    </row>
    <row r="2" spans="1:5" customFormat="1" ht="15" customHeight="1">
      <c r="A2" s="218"/>
      <c r="B2" s="218"/>
      <c r="C2" s="218"/>
    </row>
    <row r="3" spans="1:5" customFormat="1" ht="15" customHeight="1">
      <c r="A3" s="218"/>
      <c r="B3" s="218"/>
      <c r="C3" s="218"/>
    </row>
    <row r="4" spans="1:5" customFormat="1" ht="15" customHeight="1">
      <c r="A4" s="218"/>
      <c r="B4" s="218"/>
      <c r="C4" s="218"/>
    </row>
    <row r="5" spans="1:5" customFormat="1" ht="26.25" customHeight="1">
      <c r="A5" s="218"/>
      <c r="B5" s="218"/>
      <c r="C5" s="218"/>
    </row>
    <row r="6" spans="1:5" customFormat="1" ht="18.75" customHeight="1">
      <c r="A6" s="219" t="s">
        <v>162</v>
      </c>
      <c r="B6" s="219"/>
      <c r="C6" s="219"/>
    </row>
    <row r="7" spans="1:5" customFormat="1" ht="80.25" customHeight="1">
      <c r="A7" s="220" t="s">
        <v>164</v>
      </c>
      <c r="B7" s="220"/>
      <c r="C7" s="220"/>
    </row>
    <row r="8" spans="1:5">
      <c r="A8" s="189"/>
      <c r="B8" s="190"/>
      <c r="C8" s="190"/>
    </row>
    <row r="9" spans="1:5" ht="15" customHeight="1">
      <c r="A9" s="191" t="s">
        <v>155</v>
      </c>
      <c r="B9" s="192"/>
      <c r="C9" s="193"/>
    </row>
    <row r="10" spans="1:5" ht="15" customHeight="1">
      <c r="A10" s="194" t="s">
        <v>165</v>
      </c>
      <c r="B10" s="195"/>
      <c r="C10" s="187">
        <v>100000</v>
      </c>
    </row>
    <row r="11" spans="1:5" ht="15">
      <c r="A11" s="194" t="s">
        <v>156</v>
      </c>
      <c r="B11" s="195"/>
      <c r="C11" s="187">
        <v>0</v>
      </c>
    </row>
    <row r="12" spans="1:5" ht="15" customHeight="1">
      <c r="A12" s="194" t="s">
        <v>157</v>
      </c>
      <c r="B12" s="195"/>
      <c r="C12" s="188">
        <v>24</v>
      </c>
      <c r="E12" s="89"/>
    </row>
    <row r="13" spans="1:5" ht="15" customHeight="1">
      <c r="A13" s="194"/>
      <c r="B13" s="195"/>
      <c r="C13" s="196"/>
      <c r="E13" s="89"/>
    </row>
    <row r="14" spans="1:5" ht="15" customHeight="1">
      <c r="A14" s="194" t="s">
        <v>161</v>
      </c>
      <c r="B14" s="195"/>
      <c r="C14" s="197">
        <f>A34</f>
        <v>979.16666666666663</v>
      </c>
      <c r="E14" s="89"/>
    </row>
    <row r="15" spans="1:5" ht="15" customHeight="1">
      <c r="A15" s="194"/>
      <c r="B15" s="195"/>
      <c r="C15" s="196"/>
      <c r="E15" s="89"/>
    </row>
    <row r="16" spans="1:5" ht="33" customHeight="1">
      <c r="A16" s="221" t="s">
        <v>158</v>
      </c>
      <c r="B16" s="221"/>
      <c r="C16" s="221"/>
      <c r="E16" s="89"/>
    </row>
    <row r="17" spans="1:5" ht="30.75" customHeight="1">
      <c r="A17" s="221" t="s">
        <v>159</v>
      </c>
      <c r="B17" s="221"/>
      <c r="C17" s="221"/>
      <c r="E17" s="89"/>
    </row>
    <row r="18" spans="1:5" ht="15" customHeight="1">
      <c r="A18" s="222"/>
      <c r="B18" s="222"/>
      <c r="C18" s="222"/>
      <c r="E18" s="89"/>
    </row>
    <row r="19" spans="1:5" ht="15" hidden="1" customHeight="1">
      <c r="A19" s="194"/>
      <c r="B19" s="195"/>
      <c r="C19" s="196"/>
    </row>
    <row r="20" spans="1:5" ht="15" hidden="1" customHeight="1">
      <c r="A20" s="198" t="s">
        <v>160</v>
      </c>
      <c r="B20" s="199"/>
      <c r="C20" s="200"/>
    </row>
    <row r="21" spans="1:5" ht="13.5" hidden="1" customHeight="1">
      <c r="A21" s="201">
        <f>C10</f>
        <v>100000</v>
      </c>
      <c r="B21" s="5" t="s">
        <v>146</v>
      </c>
    </row>
    <row r="22" spans="1:5" hidden="1">
      <c r="A22" s="76">
        <v>70000</v>
      </c>
      <c r="B22" s="5" t="s">
        <v>145</v>
      </c>
    </row>
    <row r="23" spans="1:5" ht="25.5" hidden="1" customHeight="1">
      <c r="A23" s="202">
        <f>330000*0.075</f>
        <v>24750</v>
      </c>
      <c r="B23" s="217" t="s">
        <v>163</v>
      </c>
      <c r="C23" s="217"/>
    </row>
    <row r="24" spans="1:5" hidden="1">
      <c r="A24" s="76">
        <v>23500</v>
      </c>
      <c r="B24" s="5" t="s">
        <v>152</v>
      </c>
    </row>
    <row r="25" spans="1:5" ht="12" hidden="1" customHeight="1">
      <c r="A25" s="76"/>
    </row>
    <row r="26" spans="1:5" hidden="1">
      <c r="A26" s="31">
        <f>IF((A21*0.075)&gt;A23,A23,(A21*0.075))</f>
        <v>7500</v>
      </c>
      <c r="B26" s="5" t="s">
        <v>147</v>
      </c>
    </row>
    <row r="27" spans="1:5" hidden="1">
      <c r="A27" s="31">
        <f>IF((A21*0.075)&gt;A23,A23,(A21*0.075))</f>
        <v>7500</v>
      </c>
      <c r="B27" s="5" t="s">
        <v>148</v>
      </c>
    </row>
    <row r="28" spans="1:5" ht="26.25" hidden="1" customHeight="1">
      <c r="A28" s="203">
        <f>A22-A26-A27</f>
        <v>55000</v>
      </c>
      <c r="B28" s="217" t="s">
        <v>166</v>
      </c>
      <c r="C28" s="217"/>
    </row>
    <row r="29" spans="1:5" hidden="1">
      <c r="C29" s="77"/>
    </row>
    <row r="30" spans="1:5" hidden="1">
      <c r="A30" s="77">
        <f>IF(A28&lt;A24,A28,A24)</f>
        <v>23500</v>
      </c>
      <c r="B30" s="5" t="s">
        <v>153</v>
      </c>
      <c r="C30" s="77"/>
    </row>
    <row r="31" spans="1:5" hidden="1">
      <c r="A31" s="204">
        <f>C11</f>
        <v>0</v>
      </c>
      <c r="B31" s="5" t="s">
        <v>154</v>
      </c>
      <c r="C31" s="205"/>
    </row>
    <row r="32" spans="1:5" ht="25.5" hidden="1" customHeight="1">
      <c r="A32" s="31">
        <f>A30-A31</f>
        <v>23500</v>
      </c>
      <c r="B32" s="5" t="s">
        <v>149</v>
      </c>
    </row>
    <row r="33" spans="1:3" hidden="1">
      <c r="A33" s="206">
        <f>C12</f>
        <v>24</v>
      </c>
      <c r="B33" s="5" t="s">
        <v>150</v>
      </c>
    </row>
    <row r="34" spans="1:3" hidden="1">
      <c r="A34" s="31">
        <f>A32/A33</f>
        <v>979.16666666666663</v>
      </c>
      <c r="B34" s="5" t="s">
        <v>151</v>
      </c>
    </row>
    <row r="35" spans="1:3">
      <c r="A35" s="57"/>
      <c r="B35" s="57"/>
    </row>
    <row r="36" spans="1:3">
      <c r="A36" s="57"/>
      <c r="B36" s="57"/>
    </row>
    <row r="37" spans="1:3">
      <c r="A37" s="57"/>
      <c r="B37" s="57"/>
    </row>
    <row r="38" spans="1:3">
      <c r="A38" s="57"/>
      <c r="B38" s="57"/>
    </row>
    <row r="39" spans="1:3">
      <c r="A39" s="57"/>
      <c r="B39" s="57"/>
    </row>
    <row r="40" spans="1:3">
      <c r="A40" s="57"/>
      <c r="B40" s="57"/>
      <c r="C40" s="57"/>
    </row>
    <row r="41" spans="1:3">
      <c r="A41" s="57"/>
      <c r="B41" s="57"/>
      <c r="C41" s="57"/>
    </row>
    <row r="42" spans="1:3">
      <c r="A42" s="101"/>
      <c r="B42" s="102"/>
      <c r="C42" s="57"/>
    </row>
    <row r="43" spans="1:3">
      <c r="A43" s="101"/>
      <c r="B43" s="102"/>
      <c r="C43" s="106"/>
    </row>
    <row r="44" spans="1:3">
      <c r="A44" s="101"/>
      <c r="B44" s="105"/>
      <c r="C44" s="106"/>
    </row>
    <row r="45" spans="1:3">
      <c r="A45" s="101"/>
      <c r="B45" s="102"/>
      <c r="C45" s="106"/>
    </row>
    <row r="46" spans="1:3">
      <c r="C46" s="106"/>
    </row>
  </sheetData>
  <sheetProtection algorithmName="SHA-512" hashValue="IpNxVG3TsWyNzAfkNPTGws6ot4dqQgklcTYIFnn+wfopbbGBwprLH2rssimNoNNXMaRK7Zta5COnMHuSBNhZOw==" saltValue="6ahxU4ebyXDC7Y0WuUxz7Q==" spinCount="100000" sheet="1" objects="1" scenarios="1"/>
  <mergeCells count="8">
    <mergeCell ref="B23:C23"/>
    <mergeCell ref="B28:C28"/>
    <mergeCell ref="A1:C5"/>
    <mergeCell ref="A6:C6"/>
    <mergeCell ref="A7:C7"/>
    <mergeCell ref="A16:C16"/>
    <mergeCell ref="A17:C17"/>
    <mergeCell ref="A18:C18"/>
  </mergeCells>
  <pageMargins left="0.45" right="0.4" top="1" bottom="0.72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8">
    <tabColor rgb="FFFF0000"/>
  </sheetPr>
  <dimension ref="A1:WVS48"/>
  <sheetViews>
    <sheetView zoomScale="85" zoomScaleNormal="85" workbookViewId="0">
      <selection activeCell="B26" sqref="B26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47</v>
      </c>
      <c r="C1" s="207"/>
      <c r="D1" s="1" t="s">
        <v>1</v>
      </c>
      <c r="E1" s="2">
        <v>9</v>
      </c>
      <c r="F1" s="16"/>
      <c r="G1" s="16"/>
      <c r="H1" s="2"/>
      <c r="I1" s="3" t="s">
        <v>2</v>
      </c>
      <c r="J1" s="4">
        <v>36069</v>
      </c>
    </row>
    <row r="2" spans="1:20" ht="15">
      <c r="A2" s="1" t="s">
        <v>4</v>
      </c>
      <c r="B2" s="208">
        <v>154929297</v>
      </c>
      <c r="C2" s="208"/>
      <c r="D2"/>
      <c r="E2" s="6" t="s">
        <v>94</v>
      </c>
      <c r="H2" s="6"/>
      <c r="I2" s="3" t="s">
        <v>5</v>
      </c>
      <c r="J2" s="4">
        <v>25215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196290.45</v>
      </c>
      <c r="K3" s="49"/>
      <c r="L3" s="14">
        <f>-SUM(C30+D30+E30+F30)</f>
        <v>-52126.093750000015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21810.050000000003</v>
      </c>
      <c r="K4" s="49"/>
      <c r="L4" s="19">
        <f>SUM(L2:L3)</f>
        <v>5873.9062499999854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10905.025000000001</v>
      </c>
      <c r="K5" s="49"/>
      <c r="O5" s="14">
        <f>-D30</f>
        <v>-6515.7524999999987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19484.247500000001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5873.9062499999854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12373.906249999985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12373.906249999985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12373.906249999985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12373.906249999985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12373.906249999985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12373.906249999985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12373.906249999985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12373.906249999985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12373.906249999985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12373.906249999985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12373.906249999985</v>
      </c>
      <c r="P23" s="23">
        <v>40673</v>
      </c>
      <c r="R23" s="31"/>
      <c r="U23" s="31"/>
    </row>
    <row r="24" spans="1:22">
      <c r="A24" s="23">
        <v>40096</v>
      </c>
      <c r="B24" s="125">
        <v>206105.04</v>
      </c>
      <c r="C24" s="125">
        <v>15457.91</v>
      </c>
      <c r="D24" s="125">
        <v>4907.24</v>
      </c>
      <c r="E24" s="26">
        <v>15457.91</v>
      </c>
      <c r="F24" s="25">
        <v>5152.7</v>
      </c>
      <c r="G24" s="125">
        <v>21092.76</v>
      </c>
      <c r="H24" s="125">
        <v>26000</v>
      </c>
      <c r="I24" s="53"/>
      <c r="J24" s="53"/>
      <c r="K24" s="53"/>
      <c r="O24" s="14">
        <f t="shared" si="4"/>
        <v>12373.906249999985</v>
      </c>
      <c r="P24" s="23">
        <v>40688</v>
      </c>
      <c r="R24" s="31"/>
      <c r="U24" s="31"/>
    </row>
    <row r="25" spans="1:22">
      <c r="A25" s="23">
        <v>40111</v>
      </c>
      <c r="B25" s="98">
        <f>J5</f>
        <v>10905.025000000001</v>
      </c>
      <c r="C25" s="25">
        <f t="shared" si="0"/>
        <v>817.87687500000004</v>
      </c>
      <c r="D25" s="25">
        <v>0</v>
      </c>
      <c r="E25" s="26">
        <f>B25*0.075</f>
        <v>817.87687500000004</v>
      </c>
      <c r="F25" s="25">
        <v>0</v>
      </c>
      <c r="G25" s="27">
        <v>-8718.93</v>
      </c>
      <c r="H25" s="27">
        <v>1083</v>
      </c>
      <c r="I25" s="54"/>
      <c r="J25" s="55"/>
      <c r="K25" s="54"/>
      <c r="O25" s="14">
        <f t="shared" si="4"/>
        <v>12373.906249999985</v>
      </c>
      <c r="P25" s="23">
        <v>40704</v>
      </c>
      <c r="R25" s="31"/>
    </row>
    <row r="26" spans="1:22">
      <c r="A26" s="23">
        <v>40127</v>
      </c>
      <c r="B26" s="98">
        <f>J5</f>
        <v>10905.025000000001</v>
      </c>
      <c r="C26" s="25">
        <f t="shared" si="0"/>
        <v>817.87687500000004</v>
      </c>
      <c r="D26" s="25">
        <f>B26*0.025</f>
        <v>272.62562500000007</v>
      </c>
      <c r="E26" s="26">
        <f t="shared" si="2"/>
        <v>817.87687500000004</v>
      </c>
      <c r="F26" s="25">
        <f>B26*0.025</f>
        <v>272.62562500000007</v>
      </c>
      <c r="G26" s="27">
        <v>-245.39</v>
      </c>
      <c r="H26" s="27">
        <v>1083</v>
      </c>
      <c r="I26" s="50"/>
      <c r="J26" s="45"/>
      <c r="K26" s="45"/>
      <c r="O26" s="14">
        <f t="shared" si="4"/>
        <v>12373.906249999985</v>
      </c>
      <c r="P26" s="23">
        <v>40719</v>
      </c>
      <c r="R26" s="31"/>
    </row>
    <row r="27" spans="1:22" ht="15" customHeight="1">
      <c r="A27" s="23">
        <v>40142</v>
      </c>
      <c r="B27" s="98">
        <f>J5</f>
        <v>10905.025000000001</v>
      </c>
      <c r="C27" s="25">
        <f t="shared" si="0"/>
        <v>817.87687500000004</v>
      </c>
      <c r="D27" s="135">
        <f>(B27*0.025)+518.01</f>
        <v>790.63562500000012</v>
      </c>
      <c r="E27" s="26">
        <f t="shared" si="2"/>
        <v>817.87687500000004</v>
      </c>
      <c r="F27" s="135">
        <f>(B27*0.025)+272.55</f>
        <v>545.17562500000008</v>
      </c>
      <c r="G27" s="134">
        <v>245.47</v>
      </c>
      <c r="H27" s="27">
        <v>1083</v>
      </c>
      <c r="I27" s="56"/>
      <c r="J27" s="56"/>
      <c r="K27" s="56"/>
      <c r="O27" s="14">
        <f t="shared" si="4"/>
        <v>12373.906249999985</v>
      </c>
      <c r="P27" s="23">
        <v>40369</v>
      </c>
      <c r="R27" s="31"/>
    </row>
    <row r="28" spans="1:22">
      <c r="A28" s="23">
        <v>40157</v>
      </c>
      <c r="B28" s="98">
        <f>J5</f>
        <v>10905.025000000001</v>
      </c>
      <c r="C28" s="25">
        <f t="shared" si="0"/>
        <v>817.87687500000004</v>
      </c>
      <c r="D28" s="25">
        <f>B28*0.025</f>
        <v>272.62562500000007</v>
      </c>
      <c r="E28" s="26">
        <f t="shared" si="2"/>
        <v>817.87687500000004</v>
      </c>
      <c r="F28" s="25">
        <f>B28*0.025</f>
        <v>272.62562500000007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12373.906249999985</v>
      </c>
      <c r="P28" s="23">
        <v>40384</v>
      </c>
      <c r="R28" s="89"/>
    </row>
    <row r="29" spans="1:22" ht="13.5" thickBot="1">
      <c r="A29" s="23">
        <v>39441</v>
      </c>
      <c r="B29" s="98">
        <f>J5</f>
        <v>10905.025000000001</v>
      </c>
      <c r="C29" s="25">
        <f t="shared" si="0"/>
        <v>817.87687500000004</v>
      </c>
      <c r="D29" s="126">
        <f>B29*0.025</f>
        <v>272.62562500000007</v>
      </c>
      <c r="E29" s="97">
        <f t="shared" si="2"/>
        <v>817.87687500000004</v>
      </c>
      <c r="F29" s="97">
        <f>B29*0.025</f>
        <v>272.62562500000007</v>
      </c>
      <c r="G29" s="27">
        <v>0</v>
      </c>
      <c r="H29" s="27">
        <v>1083</v>
      </c>
      <c r="I29" s="56"/>
      <c r="J29" s="56"/>
      <c r="K29" s="56"/>
      <c r="O29" s="14">
        <f t="shared" si="4"/>
        <v>12373.906249999985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260630.16499999998</v>
      </c>
      <c r="C30" s="59">
        <f t="shared" si="5"/>
        <v>19547.294375000005</v>
      </c>
      <c r="D30" s="94">
        <f t="shared" si="5"/>
        <v>6515.7524999999987</v>
      </c>
      <c r="E30" s="94">
        <f t="shared" si="5"/>
        <v>19547.294375000005</v>
      </c>
      <c r="F30" s="94">
        <f t="shared" si="5"/>
        <v>6515.7524999999987</v>
      </c>
      <c r="G30" s="59">
        <f t="shared" si="5"/>
        <v>12373.909999999998</v>
      </c>
      <c r="H30" s="59">
        <f t="shared" si="5"/>
        <v>31415</v>
      </c>
      <c r="I30" s="44"/>
      <c r="J30" s="132"/>
      <c r="K30" s="44"/>
      <c r="O30" s="14">
        <f t="shared" si="4"/>
        <v>12373.906249999985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19547.262374999998</v>
      </c>
      <c r="D31" s="160">
        <f>B30*0.025</f>
        <v>6515.7541249999995</v>
      </c>
      <c r="E31" s="64">
        <f>C31</f>
        <v>19547.262374999998</v>
      </c>
      <c r="F31" s="64">
        <f>D31</f>
        <v>6515.7541249999995</v>
      </c>
      <c r="G31" s="65"/>
      <c r="H31" s="65"/>
      <c r="I31" s="44"/>
      <c r="J31" s="132"/>
      <c r="K31" s="44"/>
      <c r="O31" s="14">
        <f t="shared" si="4"/>
        <v>12373.906249999985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3.2000000006519258E-2</v>
      </c>
      <c r="D32" s="31">
        <f>D30-D31</f>
        <v>-1.6250000007858034E-3</v>
      </c>
      <c r="E32" s="31">
        <f>E30-E31</f>
        <v>3.2000000006519258E-2</v>
      </c>
      <c r="F32" s="31">
        <f>F30-F31</f>
        <v>-1.6250000007858034E-3</v>
      </c>
      <c r="G32" s="45"/>
      <c r="H32" s="45"/>
      <c r="I32" s="57"/>
      <c r="J32" s="57"/>
      <c r="K32" s="57"/>
      <c r="O32" s="14">
        <f t="shared" si="4"/>
        <v>12373.906249999985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-8718.853750000013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7.6249999987339834E-2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245.46624999998733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-3.7500000126726718E-3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-3.7500000126726718E-3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-3.7500000126726718E-3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6">
    <tabColor rgb="FFFF0000"/>
  </sheetPr>
  <dimension ref="A1:WVS48"/>
  <sheetViews>
    <sheetView zoomScale="85" zoomScaleNormal="85" workbookViewId="0">
      <selection activeCell="D34" sqref="D34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7" t="s">
        <v>79</v>
      </c>
      <c r="C1" s="207"/>
      <c r="D1" s="1" t="s">
        <v>1</v>
      </c>
      <c r="E1" s="2">
        <v>9</v>
      </c>
      <c r="F1" s="16"/>
      <c r="G1" s="16"/>
      <c r="H1" s="2"/>
      <c r="I1" s="3" t="s">
        <v>2</v>
      </c>
      <c r="J1" s="4">
        <v>30575</v>
      </c>
    </row>
    <row r="2" spans="1:20" ht="15">
      <c r="A2" s="1" t="s">
        <v>4</v>
      </c>
      <c r="B2" s="208">
        <v>35503180</v>
      </c>
      <c r="C2" s="208"/>
      <c r="D2"/>
      <c r="E2" s="6" t="s">
        <v>94</v>
      </c>
      <c r="H2" s="6"/>
      <c r="I2" s="3" t="s">
        <v>5</v>
      </c>
      <c r="J2" s="4">
        <v>18939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134197.47</v>
      </c>
      <c r="K3" s="49"/>
      <c r="L3" s="14">
        <f>-SUM(C30+D30+E30+F30)</f>
        <v>-33387.804249999994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14910.83</v>
      </c>
      <c r="K4" s="49"/>
      <c r="L4" s="19">
        <f>SUM(L2:L3)</f>
        <v>24612.195750000006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7455.415</v>
      </c>
      <c r="K5" s="49"/>
      <c r="O5" s="14">
        <f>-D30</f>
        <v>-4173.4614999999994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21826.538500000002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24612.195750000006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31112.195750000006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21826.538500000002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21826.538500000002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21826.538500000002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21826.538500000002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21826.538500000002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21826.538500000002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21826.538500000002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21826.538500000002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21826.538500000002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21826.538500000002</v>
      </c>
      <c r="P23" s="23">
        <v>40673</v>
      </c>
      <c r="R23" s="31"/>
      <c r="U23" s="31"/>
    </row>
    <row r="24" spans="1:22">
      <c r="A24" s="23">
        <v>40096</v>
      </c>
      <c r="B24" s="98">
        <v>129661.56</v>
      </c>
      <c r="C24" s="25">
        <v>9724.66</v>
      </c>
      <c r="D24" s="25">
        <v>3241.59</v>
      </c>
      <c r="E24" s="26">
        <v>9724.66</v>
      </c>
      <c r="F24" s="25">
        <v>3241.59</v>
      </c>
      <c r="G24" s="27">
        <v>22758.41</v>
      </c>
      <c r="H24" s="27">
        <v>0</v>
      </c>
      <c r="I24" s="53"/>
      <c r="J24" s="53"/>
      <c r="K24" s="53"/>
      <c r="O24" s="14">
        <f t="shared" si="4"/>
        <v>21826.538500000002</v>
      </c>
      <c r="P24" s="23">
        <v>40688</v>
      </c>
      <c r="R24" s="31"/>
      <c r="U24" s="31"/>
    </row>
    <row r="25" spans="1:22">
      <c r="A25" s="23">
        <v>40111</v>
      </c>
      <c r="B25" s="98">
        <f>J5</f>
        <v>7455.415</v>
      </c>
      <c r="C25" s="25">
        <f t="shared" si="0"/>
        <v>559.15612499999997</v>
      </c>
      <c r="D25" s="25">
        <v>0</v>
      </c>
      <c r="E25" s="26">
        <f>B25*0.075</f>
        <v>559.15612499999997</v>
      </c>
      <c r="F25" s="25">
        <v>0</v>
      </c>
      <c r="G25" s="27">
        <v>-931.93</v>
      </c>
      <c r="H25" s="27">
        <v>0</v>
      </c>
      <c r="I25" s="54"/>
      <c r="J25" s="55"/>
      <c r="K25" s="54"/>
      <c r="O25" s="14">
        <f t="shared" si="4"/>
        <v>21826.538500000002</v>
      </c>
      <c r="P25" s="23">
        <v>40704</v>
      </c>
      <c r="R25" s="31"/>
    </row>
    <row r="26" spans="1:22">
      <c r="A26" s="23">
        <v>40127</v>
      </c>
      <c r="B26" s="98">
        <f>J5</f>
        <v>7455.415</v>
      </c>
      <c r="C26" s="25">
        <f t="shared" si="0"/>
        <v>559.15612499999997</v>
      </c>
      <c r="D26" s="25">
        <f>B26*0.025</f>
        <v>186.38537500000001</v>
      </c>
      <c r="E26" s="26">
        <f t="shared" si="2"/>
        <v>559.15612499999997</v>
      </c>
      <c r="F26" s="25">
        <f>B26*0.025</f>
        <v>186.38537500000001</v>
      </c>
      <c r="G26" s="27">
        <v>-512.52</v>
      </c>
      <c r="H26" s="27">
        <v>0</v>
      </c>
      <c r="I26" s="111" t="s">
        <v>134</v>
      </c>
      <c r="J26" s="45"/>
      <c r="K26" s="45"/>
      <c r="O26" s="14">
        <f t="shared" si="4"/>
        <v>21826.538500000002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7455.415</v>
      </c>
      <c r="C27" s="25">
        <f t="shared" si="0"/>
        <v>559.15612499999997</v>
      </c>
      <c r="D27" s="135">
        <f>(B27*0.025)+186.33</f>
        <v>372.71537499999999</v>
      </c>
      <c r="E27" s="26">
        <f t="shared" si="2"/>
        <v>559.15612499999997</v>
      </c>
      <c r="F27" s="135">
        <f>(B27*0.025)+186.33</f>
        <v>372.71537499999999</v>
      </c>
      <c r="G27" s="134">
        <v>512.58000000000004</v>
      </c>
      <c r="H27" s="27">
        <v>0</v>
      </c>
      <c r="I27" s="56"/>
      <c r="J27" s="56"/>
      <c r="K27" s="56"/>
      <c r="O27" s="14">
        <f t="shared" si="4"/>
        <v>21826.538500000002</v>
      </c>
      <c r="P27" s="23">
        <v>40369</v>
      </c>
      <c r="R27" s="31"/>
    </row>
    <row r="28" spans="1:22">
      <c r="A28" s="23">
        <v>40157</v>
      </c>
      <c r="B28" s="98">
        <f>J5</f>
        <v>7455.415</v>
      </c>
      <c r="C28" s="25">
        <f t="shared" si="0"/>
        <v>559.15612499999997</v>
      </c>
      <c r="D28" s="25">
        <f>B28*0.025</f>
        <v>186.38537500000001</v>
      </c>
      <c r="E28" s="26">
        <f t="shared" si="2"/>
        <v>559.15612499999997</v>
      </c>
      <c r="F28" s="25">
        <f>B28*0.025</f>
        <v>186.38537500000001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21826.538500000002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7455.415</v>
      </c>
      <c r="C29" s="25">
        <f t="shared" si="0"/>
        <v>559.15612499999997</v>
      </c>
      <c r="D29" s="126">
        <f>B29*0.025</f>
        <v>186.38537500000001</v>
      </c>
      <c r="E29" s="97">
        <f t="shared" si="2"/>
        <v>559.15612499999997</v>
      </c>
      <c r="F29" s="97">
        <f>B29*0.025</f>
        <v>186.38537500000001</v>
      </c>
      <c r="G29" s="27">
        <v>0</v>
      </c>
      <c r="H29" s="27">
        <v>0</v>
      </c>
      <c r="I29" s="56"/>
      <c r="J29" s="56"/>
      <c r="K29" s="56"/>
      <c r="O29" s="14">
        <f t="shared" si="4"/>
        <v>21826.538500000002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166938.63500000004</v>
      </c>
      <c r="C30" s="59">
        <f t="shared" si="5"/>
        <v>12520.440624999997</v>
      </c>
      <c r="D30" s="94">
        <f t="shared" si="5"/>
        <v>4173.4614999999994</v>
      </c>
      <c r="E30" s="94">
        <f t="shared" si="5"/>
        <v>12520.440624999997</v>
      </c>
      <c r="F30" s="94">
        <f t="shared" si="5"/>
        <v>4173.4614999999994</v>
      </c>
      <c r="G30" s="59">
        <f t="shared" si="5"/>
        <v>21826.54</v>
      </c>
      <c r="H30" s="59">
        <f t="shared" si="5"/>
        <v>0</v>
      </c>
      <c r="I30" s="44"/>
      <c r="J30" s="132"/>
      <c r="K30" s="44"/>
      <c r="O30" s="14">
        <f t="shared" si="4"/>
        <v>21826.538500000002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12520.397625000003</v>
      </c>
      <c r="D31" s="160">
        <f>B30*0.025</f>
        <v>4173.4658750000008</v>
      </c>
      <c r="E31" s="64">
        <f>C31</f>
        <v>12520.397625000003</v>
      </c>
      <c r="F31" s="64">
        <f>D31</f>
        <v>4173.4658750000008</v>
      </c>
      <c r="G31" s="65"/>
      <c r="H31" s="65"/>
      <c r="I31" s="44"/>
      <c r="J31" s="132"/>
      <c r="K31" s="44"/>
      <c r="O31" s="14">
        <f t="shared" si="4"/>
        <v>21826.538500000002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4.2999999994208338E-2</v>
      </c>
      <c r="D32" s="31">
        <f>D30-D31</f>
        <v>-4.3750000013460522E-3</v>
      </c>
      <c r="E32" s="31">
        <f>E30-E31</f>
        <v>4.2999999994208338E-2</v>
      </c>
      <c r="F32" s="31">
        <f>F30-F31</f>
        <v>-4.3750000013460522E-3</v>
      </c>
      <c r="G32" s="45"/>
      <c r="H32" s="45"/>
      <c r="I32" s="57"/>
      <c r="J32" s="57"/>
      <c r="K32" s="57"/>
      <c r="O32" s="14">
        <f t="shared" si="4"/>
        <v>21826.538500000002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-931.87149999999747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5.8500000002482011E-2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512.57850000000246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-1.4999999975771061E-3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-1.4999999975771061E-3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-1.4999999975771061E-3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2">
    <tabColor rgb="FFFF000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7" t="s">
        <v>129</v>
      </c>
      <c r="C1" s="207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10" t="s">
        <v>3</v>
      </c>
      <c r="N1" s="210"/>
    </row>
    <row r="2" spans="1:24">
      <c r="A2" s="1" t="s">
        <v>4</v>
      </c>
      <c r="B2" s="208">
        <v>259732975</v>
      </c>
      <c r="C2" s="208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-28503.058333333334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29496.941666666666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-4071.8683333333329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21928.131666666668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29496.941666666666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35996.941666666666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11" t="e">
        <f>IF(#REF!&gt;=0,"Total&lt;45K eligible for SRA","&gt;45K Not eligible for SRA")</f>
        <v>#REF!</v>
      </c>
      <c r="M14" s="212"/>
      <c r="N14" s="213"/>
      <c r="P14" s="31"/>
      <c r="Q14" s="41"/>
      <c r="S14" s="14">
        <f>IF(S11&lt;S6,S11,S6)</f>
        <v>21928.131666666668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4" t="e">
        <f>IF(#REF!&gt;=0,IF(#REF!&gt;=0,"SRA OK","SRA need to be adjusted"), "&gt;45K Not eligible for SRA")</f>
        <v>#REF!</v>
      </c>
      <c r="M15" s="215"/>
      <c r="N15" s="216"/>
      <c r="P15" s="44"/>
      <c r="Q15" s="41"/>
      <c r="S15" s="14">
        <f t="shared" ref="S15:S38" si="4">S14-G6</f>
        <v>21928.131666666668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21928.131666666668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21928.131666666668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21928.131666666668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21928.131666666668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21928.131666666668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21928.131666666668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21928.131666666668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21928.131666666668</v>
      </c>
      <c r="T23" s="23">
        <v>40673</v>
      </c>
      <c r="V23" s="31"/>
      <c r="Y23" s="31"/>
    </row>
    <row r="24" spans="1:26">
      <c r="A24" s="23">
        <v>40096</v>
      </c>
      <c r="B24" s="98">
        <f>144985.13-18568.86</f>
        <v>126416.27</v>
      </c>
      <c r="C24" s="25">
        <v>8989.07</v>
      </c>
      <c r="D24" s="25">
        <v>2996.32</v>
      </c>
      <c r="E24" s="26">
        <v>8989.07</v>
      </c>
      <c r="F24" s="25">
        <v>2996.32</v>
      </c>
      <c r="G24" s="27">
        <v>0</v>
      </c>
      <c r="H24" s="27">
        <v>0</v>
      </c>
      <c r="I24" s="53"/>
      <c r="J24" s="53"/>
      <c r="K24" s="53"/>
      <c r="L24" s="209"/>
      <c r="M24" s="209"/>
      <c r="N24" s="209"/>
      <c r="S24" s="14">
        <f t="shared" si="4"/>
        <v>21928.131666666668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0"/>
        <v>546.875</v>
      </c>
      <c r="D25" s="25">
        <f t="shared" si="1"/>
        <v>182.29166666666669</v>
      </c>
      <c r="E25" s="26">
        <f t="shared" si="2"/>
        <v>546.875</v>
      </c>
      <c r="F25" s="25">
        <f t="shared" si="3"/>
        <v>182.29166666666669</v>
      </c>
      <c r="G25" s="27">
        <v>0</v>
      </c>
      <c r="H25" s="27">
        <v>0</v>
      </c>
      <c r="I25" s="54"/>
      <c r="J25" s="55"/>
      <c r="K25" s="54"/>
      <c r="L25" s="209"/>
      <c r="M25" s="209"/>
      <c r="N25" s="209"/>
      <c r="S25" s="14">
        <f t="shared" si="4"/>
        <v>21928.131666666668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135">
        <f>(B26*0.075)+492.15</f>
        <v>1039.0250000000001</v>
      </c>
      <c r="D26" s="135">
        <f>(B26*0.025)+164.09</f>
        <v>346.38166666666666</v>
      </c>
      <c r="E26" s="139">
        <f>(B26*0.075)+492.15</f>
        <v>1039.0250000000001</v>
      </c>
      <c r="F26" s="135">
        <f>(B26*0.025)+164.09</f>
        <v>346.38166666666666</v>
      </c>
      <c r="G26" s="27">
        <v>0</v>
      </c>
      <c r="H26" s="27">
        <v>0</v>
      </c>
      <c r="I26" s="50"/>
      <c r="J26" s="45"/>
      <c r="K26" s="45"/>
      <c r="S26" s="14">
        <f t="shared" si="4"/>
        <v>21928.131666666668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0"/>
        <v>546.875</v>
      </c>
      <c r="D27" s="25">
        <f t="shared" si="1"/>
        <v>182.29166666666669</v>
      </c>
      <c r="E27" s="26">
        <f t="shared" si="2"/>
        <v>546.875</v>
      </c>
      <c r="F27" s="25">
        <f t="shared" si="3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21928.131666666668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0"/>
        <v>546.875</v>
      </c>
      <c r="D28" s="25">
        <f t="shared" si="1"/>
        <v>182.29166666666669</v>
      </c>
      <c r="E28" s="26">
        <f t="shared" si="2"/>
        <v>546.875</v>
      </c>
      <c r="F28" s="26">
        <f t="shared" si="3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21928.131666666668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0"/>
        <v>546.875</v>
      </c>
      <c r="D29" s="126">
        <f t="shared" si="1"/>
        <v>182.29166666666669</v>
      </c>
      <c r="E29" s="97">
        <f t="shared" si="2"/>
        <v>546.875</v>
      </c>
      <c r="F29" s="97">
        <f t="shared" si="3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21928.131666666668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162874.6033333333</v>
      </c>
      <c r="C30" s="59">
        <f t="shared" si="5"/>
        <v>12215.594999999999</v>
      </c>
      <c r="D30" s="94">
        <f t="shared" si="5"/>
        <v>4071.8683333333329</v>
      </c>
      <c r="E30" s="94">
        <f t="shared" si="5"/>
        <v>12215.594999999999</v>
      </c>
      <c r="F30" s="94">
        <f t="shared" si="5"/>
        <v>4071.8683333333329</v>
      </c>
      <c r="G30" s="59">
        <f t="shared" si="5"/>
        <v>0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21928.131666666668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12215.595249999997</v>
      </c>
      <c r="D31" s="160">
        <f>B30*0.025</f>
        <v>4071.8650833333327</v>
      </c>
      <c r="E31" s="64">
        <f>C31</f>
        <v>12215.595249999997</v>
      </c>
      <c r="F31" s="64">
        <f>D31</f>
        <v>4071.8650833333327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21928.131666666668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-2.499999973224476E-4</v>
      </c>
      <c r="D32" s="31">
        <f>D30-D31</f>
        <v>3.2500000002073648E-3</v>
      </c>
      <c r="E32" s="31">
        <f>E30-E31</f>
        <v>-2.499999973224476E-4</v>
      </c>
      <c r="F32" s="31">
        <f>F30-F31</f>
        <v>3.2500000002073648E-3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21928.131666666668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21928.131666666668</v>
      </c>
      <c r="T33" s="23">
        <v>40096</v>
      </c>
    </row>
    <row r="34" spans="2:20">
      <c r="B34" s="123"/>
      <c r="C34" s="161" t="s">
        <v>130</v>
      </c>
      <c r="D34" s="162"/>
      <c r="E34" s="162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21928.131666666668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21928.131666666668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21928.131666666668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21928.131666666668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21928.131666666668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3">
    <tabColor rgb="FF7030A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7" t="s">
        <v>129</v>
      </c>
      <c r="C1" s="207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10" t="s">
        <v>3</v>
      </c>
      <c r="N1" s="210"/>
    </row>
    <row r="2" spans="1:24">
      <c r="A2" s="1" t="s">
        <v>4</v>
      </c>
      <c r="B2" s="208">
        <v>259732975</v>
      </c>
      <c r="C2" s="208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-28503.052083333336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29496.947916666664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-4071.8645833333317</v>
      </c>
      <c r="T5" s="15" t="s">
        <v>29</v>
      </c>
      <c r="V5" s="16"/>
    </row>
    <row r="6" spans="1:24" ht="13.5" thickBot="1">
      <c r="A6" s="23">
        <v>40553</v>
      </c>
      <c r="B6" s="98">
        <v>5663.61</v>
      </c>
      <c r="C6" s="25">
        <f>B6*0.075</f>
        <v>424.77074999999996</v>
      </c>
      <c r="D6" s="25">
        <f>B6*0.025</f>
        <v>141.59025</v>
      </c>
      <c r="E6" s="26">
        <f>B6*0.075</f>
        <v>424.77074999999996</v>
      </c>
      <c r="F6" s="25">
        <f>B6*0.025</f>
        <v>141.59025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21928.135416666668</v>
      </c>
      <c r="T6" s="32" t="s">
        <v>93</v>
      </c>
      <c r="V6" s="16"/>
    </row>
    <row r="7" spans="1:24" ht="13.5" thickBot="1">
      <c r="A7" s="23">
        <v>40568</v>
      </c>
      <c r="B7" s="98">
        <v>5663.61</v>
      </c>
      <c r="C7" s="25">
        <f t="shared" ref="C7:C23" si="0">B7*0.075</f>
        <v>424.77074999999996</v>
      </c>
      <c r="D7" s="25">
        <f t="shared" ref="D7:D23" si="1">B7*0.025</f>
        <v>141.59025</v>
      </c>
      <c r="E7" s="26">
        <f t="shared" ref="E7:E23" si="2">B7*0.075</f>
        <v>424.77074999999996</v>
      </c>
      <c r="F7" s="25">
        <f t="shared" ref="F7:F23" si="3">B7*0.025</f>
        <v>141.59025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5663.61</v>
      </c>
      <c r="C8" s="25">
        <f t="shared" si="0"/>
        <v>424.77074999999996</v>
      </c>
      <c r="D8" s="25">
        <f t="shared" si="1"/>
        <v>141.59025</v>
      </c>
      <c r="E8" s="26">
        <f t="shared" si="2"/>
        <v>424.77074999999996</v>
      </c>
      <c r="F8" s="25">
        <f t="shared" si="3"/>
        <v>141.59025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29496.947916666664</v>
      </c>
      <c r="T8" s="34" t="s">
        <v>101</v>
      </c>
      <c r="V8" s="16"/>
    </row>
    <row r="9" spans="1:24">
      <c r="A9" s="23">
        <v>40599</v>
      </c>
      <c r="B9" s="98">
        <v>5663.61</v>
      </c>
      <c r="C9" s="25">
        <f t="shared" si="0"/>
        <v>424.77074999999996</v>
      </c>
      <c r="D9" s="25">
        <f t="shared" si="1"/>
        <v>141.59025</v>
      </c>
      <c r="E9" s="26">
        <f t="shared" si="2"/>
        <v>424.77074999999996</v>
      </c>
      <c r="F9" s="25">
        <f t="shared" si="3"/>
        <v>141.59025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5663.61</v>
      </c>
      <c r="C10" s="25">
        <f t="shared" si="0"/>
        <v>424.77074999999996</v>
      </c>
      <c r="D10" s="25">
        <f t="shared" si="1"/>
        <v>141.59025</v>
      </c>
      <c r="E10" s="26">
        <f t="shared" si="2"/>
        <v>424.77074999999996</v>
      </c>
      <c r="F10" s="25">
        <f t="shared" si="3"/>
        <v>141.59025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5663.61</v>
      </c>
      <c r="C11" s="25">
        <f t="shared" si="0"/>
        <v>424.77074999999996</v>
      </c>
      <c r="D11" s="25">
        <f t="shared" si="1"/>
        <v>141.59025</v>
      </c>
      <c r="E11" s="26">
        <f t="shared" si="2"/>
        <v>424.77074999999996</v>
      </c>
      <c r="F11" s="25">
        <f t="shared" si="3"/>
        <v>141.59025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35996.947916666664</v>
      </c>
      <c r="T11" s="37"/>
      <c r="V11" s="41"/>
    </row>
    <row r="12" spans="1:24" ht="13.5" thickBot="1">
      <c r="A12" s="23">
        <v>40643</v>
      </c>
      <c r="B12" s="98">
        <v>5663.61</v>
      </c>
      <c r="C12" s="25">
        <f t="shared" si="0"/>
        <v>424.77074999999996</v>
      </c>
      <c r="D12" s="25">
        <f t="shared" si="1"/>
        <v>141.59025</v>
      </c>
      <c r="E12" s="26">
        <f t="shared" si="2"/>
        <v>424.77074999999996</v>
      </c>
      <c r="F12" s="25">
        <f t="shared" si="3"/>
        <v>141.59025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7291.68</v>
      </c>
      <c r="C13" s="25">
        <f t="shared" si="0"/>
        <v>546.87599999999998</v>
      </c>
      <c r="D13" s="25">
        <f t="shared" si="1"/>
        <v>182.29200000000003</v>
      </c>
      <c r="E13" s="26">
        <f t="shared" si="2"/>
        <v>546.87599999999998</v>
      </c>
      <c r="F13" s="25">
        <f t="shared" si="3"/>
        <v>182.29200000000003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7291.68</v>
      </c>
      <c r="C14" s="25">
        <f t="shared" si="0"/>
        <v>546.87599999999998</v>
      </c>
      <c r="D14" s="25">
        <f t="shared" si="1"/>
        <v>182.29200000000003</v>
      </c>
      <c r="E14" s="26">
        <f t="shared" si="2"/>
        <v>546.87599999999998</v>
      </c>
      <c r="F14" s="25">
        <f t="shared" si="3"/>
        <v>182.29200000000003</v>
      </c>
      <c r="G14" s="27">
        <v>0</v>
      </c>
      <c r="H14" s="27">
        <v>0</v>
      </c>
      <c r="L14" s="211" t="e">
        <f>IF(#REF!&gt;=0,"Total&lt;45K eligible for SRA","&gt;45K Not eligible for SRA")</f>
        <v>#REF!</v>
      </c>
      <c r="M14" s="212"/>
      <c r="N14" s="213"/>
      <c r="P14" s="31"/>
      <c r="Q14" s="41"/>
      <c r="S14" s="14">
        <f>IF(S11&lt;S6,S11,S6)</f>
        <v>21928.135416666668</v>
      </c>
      <c r="T14" s="42" t="s">
        <v>31</v>
      </c>
      <c r="V14" s="31"/>
      <c r="W14" s="31"/>
    </row>
    <row r="15" spans="1:24">
      <c r="A15" s="23">
        <v>40688</v>
      </c>
      <c r="B15" s="98">
        <v>7291.68</v>
      </c>
      <c r="C15" s="25">
        <f t="shared" si="0"/>
        <v>546.87599999999998</v>
      </c>
      <c r="D15" s="25">
        <f t="shared" si="1"/>
        <v>182.29200000000003</v>
      </c>
      <c r="E15" s="26">
        <f t="shared" si="2"/>
        <v>546.87599999999998</v>
      </c>
      <c r="F15" s="25">
        <f t="shared" si="3"/>
        <v>182.29200000000003</v>
      </c>
      <c r="G15" s="27">
        <v>0</v>
      </c>
      <c r="H15" s="27">
        <v>0</v>
      </c>
      <c r="L15" s="214" t="e">
        <f>IF(#REF!&gt;=0,IF(#REF!&gt;=0,"SRA OK","SRA need to be adjusted"), "&gt;45K Not eligible for SRA")</f>
        <v>#REF!</v>
      </c>
      <c r="M15" s="215"/>
      <c r="N15" s="216"/>
      <c r="P15" s="44"/>
      <c r="Q15" s="41"/>
      <c r="S15" s="14">
        <f t="shared" ref="S15:S38" si="4">S14-G6</f>
        <v>21928.135416666668</v>
      </c>
      <c r="T15" s="23">
        <v>40553</v>
      </c>
      <c r="V15" s="31"/>
    </row>
    <row r="16" spans="1:24">
      <c r="A16" s="23">
        <v>40704</v>
      </c>
      <c r="B16" s="98">
        <v>7291.68</v>
      </c>
      <c r="C16" s="25">
        <f t="shared" si="0"/>
        <v>546.87599999999998</v>
      </c>
      <c r="D16" s="25">
        <f t="shared" si="1"/>
        <v>182.29200000000003</v>
      </c>
      <c r="E16" s="26">
        <f t="shared" si="2"/>
        <v>546.87599999999998</v>
      </c>
      <c r="F16" s="25">
        <f t="shared" si="3"/>
        <v>182.29200000000003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21928.135416666668</v>
      </c>
      <c r="T16" s="23">
        <v>40568</v>
      </c>
      <c r="V16" s="31"/>
    </row>
    <row r="17" spans="1:26">
      <c r="A17" s="23">
        <v>40719</v>
      </c>
      <c r="B17" s="98">
        <v>7291.68</v>
      </c>
      <c r="C17" s="25">
        <f t="shared" si="0"/>
        <v>546.87599999999998</v>
      </c>
      <c r="D17" s="25">
        <f t="shared" si="1"/>
        <v>182.29200000000003</v>
      </c>
      <c r="E17" s="26">
        <f t="shared" si="2"/>
        <v>546.87599999999998</v>
      </c>
      <c r="F17" s="25">
        <f t="shared" si="3"/>
        <v>182.29200000000003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21928.135416666668</v>
      </c>
      <c r="T17" s="23">
        <v>40584</v>
      </c>
      <c r="V17" s="31"/>
    </row>
    <row r="18" spans="1:26">
      <c r="A18" s="23">
        <v>40369</v>
      </c>
      <c r="B18" s="98">
        <v>7291.68</v>
      </c>
      <c r="C18" s="25">
        <f t="shared" si="0"/>
        <v>546.87599999999998</v>
      </c>
      <c r="D18" s="25">
        <f t="shared" si="1"/>
        <v>182.29200000000003</v>
      </c>
      <c r="E18" s="26">
        <f t="shared" si="2"/>
        <v>546.87599999999998</v>
      </c>
      <c r="F18" s="25">
        <f t="shared" si="3"/>
        <v>182.29200000000003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21928.135416666668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7291.68</v>
      </c>
      <c r="C19" s="25">
        <f t="shared" si="0"/>
        <v>546.87599999999998</v>
      </c>
      <c r="D19" s="25">
        <f t="shared" si="1"/>
        <v>182.29200000000003</v>
      </c>
      <c r="E19" s="26">
        <f t="shared" si="2"/>
        <v>546.87599999999998</v>
      </c>
      <c r="F19" s="25">
        <f t="shared" si="3"/>
        <v>182.29200000000003</v>
      </c>
      <c r="G19" s="27">
        <v>0</v>
      </c>
      <c r="H19" s="27">
        <v>0</v>
      </c>
      <c r="L19" s="49"/>
      <c r="S19" s="14">
        <f t="shared" si="4"/>
        <v>21928.135416666668</v>
      </c>
      <c r="T19" s="23">
        <v>40612</v>
      </c>
    </row>
    <row r="20" spans="1:26">
      <c r="A20" s="23">
        <v>40400</v>
      </c>
      <c r="B20" s="98">
        <v>7291.68</v>
      </c>
      <c r="C20" s="25">
        <f t="shared" si="0"/>
        <v>546.87599999999998</v>
      </c>
      <c r="D20" s="25">
        <f t="shared" si="1"/>
        <v>182.29200000000003</v>
      </c>
      <c r="E20" s="26">
        <f t="shared" si="2"/>
        <v>546.87599999999998</v>
      </c>
      <c r="F20" s="25">
        <f t="shared" si="3"/>
        <v>182.29200000000003</v>
      </c>
      <c r="G20" s="27">
        <v>0</v>
      </c>
      <c r="H20" s="27">
        <v>0</v>
      </c>
      <c r="I20" s="50"/>
      <c r="J20" s="45"/>
      <c r="K20" s="45"/>
      <c r="S20" s="14">
        <f t="shared" si="4"/>
        <v>21928.135416666668</v>
      </c>
      <c r="T20" s="23">
        <v>40627</v>
      </c>
    </row>
    <row r="21" spans="1:26">
      <c r="A21" s="23">
        <v>40415</v>
      </c>
      <c r="B21" s="98">
        <v>6562.5</v>
      </c>
      <c r="C21" s="25">
        <f t="shared" si="0"/>
        <v>492.1875</v>
      </c>
      <c r="D21" s="25">
        <f t="shared" si="1"/>
        <v>164.0625</v>
      </c>
      <c r="E21" s="26">
        <f t="shared" si="2"/>
        <v>492.1875</v>
      </c>
      <c r="F21" s="25">
        <f t="shared" si="3"/>
        <v>164.0625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21928.135416666668</v>
      </c>
      <c r="T21" s="23">
        <v>40643</v>
      </c>
      <c r="Y21" s="31"/>
    </row>
    <row r="22" spans="1:26">
      <c r="A22" s="23">
        <v>40066</v>
      </c>
      <c r="B22" s="98">
        <v>7291.68</v>
      </c>
      <c r="C22" s="25">
        <f t="shared" si="0"/>
        <v>546.87599999999998</v>
      </c>
      <c r="D22" s="25">
        <f t="shared" si="1"/>
        <v>182.29200000000003</v>
      </c>
      <c r="E22" s="26">
        <f t="shared" si="2"/>
        <v>546.87599999999998</v>
      </c>
      <c r="F22" s="25">
        <f t="shared" si="3"/>
        <v>182.29200000000003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21928.135416666668</v>
      </c>
      <c r="T22" s="23">
        <v>40658</v>
      </c>
      <c r="Y22" s="31"/>
    </row>
    <row r="23" spans="1:26">
      <c r="A23" s="23">
        <v>40081</v>
      </c>
      <c r="B23" s="98">
        <v>7291.68</v>
      </c>
      <c r="C23" s="25">
        <f t="shared" si="0"/>
        <v>546.87599999999998</v>
      </c>
      <c r="D23" s="25">
        <f t="shared" si="1"/>
        <v>182.29200000000003</v>
      </c>
      <c r="E23" s="26">
        <f t="shared" si="2"/>
        <v>546.87599999999998</v>
      </c>
      <c r="F23" s="25">
        <f t="shared" si="3"/>
        <v>182.29200000000003</v>
      </c>
      <c r="G23" s="27">
        <v>0</v>
      </c>
      <c r="H23" s="27">
        <v>0</v>
      </c>
      <c r="I23" s="53"/>
      <c r="J23" s="53"/>
      <c r="K23" s="53"/>
      <c r="S23" s="14">
        <f t="shared" si="4"/>
        <v>21928.135416666668</v>
      </c>
      <c r="T23" s="23">
        <v>40673</v>
      </c>
      <c r="V23" s="31"/>
      <c r="Y23" s="31"/>
    </row>
    <row r="24" spans="1:26">
      <c r="A24" s="23">
        <v>40096</v>
      </c>
      <c r="B24" s="166">
        <f>25860.54-18568.86</f>
        <v>7291.68</v>
      </c>
      <c r="C24" s="25">
        <f t="shared" ref="C24:C29" si="5">B24*0.075</f>
        <v>546.87599999999998</v>
      </c>
      <c r="D24" s="25">
        <f t="shared" ref="D24:D29" si="6">B24*0.025</f>
        <v>182.29200000000003</v>
      </c>
      <c r="E24" s="26">
        <f t="shared" ref="E24:E29" si="7">B24*0.075</f>
        <v>546.87599999999998</v>
      </c>
      <c r="F24" s="25">
        <f t="shared" ref="F24:F29" si="8">B24*0.025</f>
        <v>182.29200000000003</v>
      </c>
      <c r="G24" s="27">
        <v>0</v>
      </c>
      <c r="H24" s="27">
        <v>0</v>
      </c>
      <c r="I24" s="53"/>
      <c r="J24" s="53"/>
      <c r="K24" s="53"/>
      <c r="L24" s="209"/>
      <c r="M24" s="209"/>
      <c r="N24" s="209"/>
      <c r="S24" s="14">
        <f t="shared" si="4"/>
        <v>21928.135416666668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5"/>
        <v>546.875</v>
      </c>
      <c r="D25" s="25">
        <f t="shared" si="6"/>
        <v>182.29166666666669</v>
      </c>
      <c r="E25" s="26">
        <f t="shared" si="7"/>
        <v>546.875</v>
      </c>
      <c r="F25" s="25">
        <f t="shared" si="8"/>
        <v>182.29166666666669</v>
      </c>
      <c r="G25" s="27">
        <v>0</v>
      </c>
      <c r="H25" s="27">
        <v>0</v>
      </c>
      <c r="I25" s="54"/>
      <c r="J25" s="55"/>
      <c r="K25" s="54"/>
      <c r="L25" s="209"/>
      <c r="M25" s="209"/>
      <c r="N25" s="209"/>
      <c r="S25" s="14">
        <f t="shared" si="4"/>
        <v>21928.135416666668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25">
        <f t="shared" si="5"/>
        <v>546.875</v>
      </c>
      <c r="D26" s="25">
        <f t="shared" si="6"/>
        <v>182.29166666666669</v>
      </c>
      <c r="E26" s="26">
        <f t="shared" si="7"/>
        <v>546.875</v>
      </c>
      <c r="F26" s="25">
        <f t="shared" si="8"/>
        <v>182.29166666666669</v>
      </c>
      <c r="G26" s="27">
        <v>0</v>
      </c>
      <c r="H26" s="27">
        <v>0</v>
      </c>
      <c r="I26" s="50"/>
      <c r="J26" s="45"/>
      <c r="K26" s="45"/>
      <c r="S26" s="14">
        <f t="shared" si="4"/>
        <v>21928.135416666668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5"/>
        <v>546.875</v>
      </c>
      <c r="D27" s="25">
        <f t="shared" si="6"/>
        <v>182.29166666666669</v>
      </c>
      <c r="E27" s="26">
        <f t="shared" si="7"/>
        <v>546.875</v>
      </c>
      <c r="F27" s="25">
        <f t="shared" si="8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21928.135416666668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5"/>
        <v>546.875</v>
      </c>
      <c r="D28" s="25">
        <f t="shared" si="6"/>
        <v>182.29166666666669</v>
      </c>
      <c r="E28" s="26">
        <f t="shared" si="7"/>
        <v>546.875</v>
      </c>
      <c r="F28" s="25">
        <f t="shared" si="8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21928.135416666668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5"/>
        <v>546.875</v>
      </c>
      <c r="D29" s="126">
        <f t="shared" si="6"/>
        <v>182.29166666666669</v>
      </c>
      <c r="E29" s="97">
        <f t="shared" si="7"/>
        <v>546.875</v>
      </c>
      <c r="F29" s="97">
        <f t="shared" si="8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21928.135416666668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9">SUM(B6:B29)</f>
        <v>162874.58333333323</v>
      </c>
      <c r="C30" s="59">
        <f>SUM(C6:C29)</f>
        <v>12215.593750000002</v>
      </c>
      <c r="D30" s="94">
        <f>SUM(D6:D29)</f>
        <v>4071.8645833333317</v>
      </c>
      <c r="E30" s="94">
        <f>SUM(E6:E29)</f>
        <v>12215.593750000002</v>
      </c>
      <c r="F30" s="94">
        <f>SUM(F6:F29)</f>
        <v>4071.8645833333317</v>
      </c>
      <c r="G30" s="59">
        <f t="shared" si="9"/>
        <v>0</v>
      </c>
      <c r="H30" s="59">
        <f t="shared" si="9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21928.135416666668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12215.593749999991</v>
      </c>
      <c r="D31" s="160">
        <f>B30*0.025</f>
        <v>4071.8645833333308</v>
      </c>
      <c r="E31" s="64">
        <f>B30*0.075</f>
        <v>12215.593749999991</v>
      </c>
      <c r="F31" s="64">
        <f>B30*0.025</f>
        <v>4071.8645833333308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21928.135416666668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0</v>
      </c>
      <c r="D32" s="31">
        <f>D30-D31</f>
        <v>0</v>
      </c>
      <c r="E32" s="31">
        <f>E30-E31</f>
        <v>0</v>
      </c>
      <c r="F32" s="31">
        <f>F30-F31</f>
        <v>0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21928.135416666668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21928.135416666668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21928.135416666668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21928.135416666668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21928.135416666668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21928.135416666668</v>
      </c>
      <c r="T37" s="23">
        <v>40157</v>
      </c>
    </row>
    <row r="38" spans="2:20" ht="13.5" thickBot="1">
      <c r="B38" s="31" t="s">
        <v>141</v>
      </c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21928.135416666668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3">
    <tabColor rgb="FFFF0000"/>
  </sheetPr>
  <dimension ref="A1:WVV48"/>
  <sheetViews>
    <sheetView zoomScale="85" zoomScaleNormal="85" workbookViewId="0">
      <selection activeCell="B33" sqref="B33:E34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7" t="s">
        <v>95</v>
      </c>
      <c r="C1" s="207"/>
      <c r="D1" s="127"/>
      <c r="E1" s="1" t="s">
        <v>1</v>
      </c>
      <c r="F1" s="2">
        <v>12</v>
      </c>
      <c r="G1" s="2"/>
      <c r="H1" s="3" t="s">
        <v>2</v>
      </c>
      <c r="I1" s="4">
        <v>43206</v>
      </c>
      <c r="L1" s="210" t="s">
        <v>3</v>
      </c>
      <c r="M1" s="210"/>
    </row>
    <row r="2" spans="1:23">
      <c r="A2" s="1" t="s">
        <v>4</v>
      </c>
      <c r="B2" s="208">
        <v>449390880</v>
      </c>
      <c r="C2" s="208"/>
      <c r="D2" s="128"/>
      <c r="F2" s="6"/>
      <c r="G2" s="6"/>
      <c r="H2" s="3" t="s">
        <v>5</v>
      </c>
      <c r="I2" s="4">
        <v>23488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6">
        <f>I4*F1</f>
        <v>455400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-58000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v>37950</v>
      </c>
      <c r="J4" s="49"/>
      <c r="K4" s="12" t="s">
        <v>16</v>
      </c>
      <c r="L4" s="13" t="s">
        <v>18</v>
      </c>
      <c r="M4" s="13" t="s">
        <v>19</v>
      </c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18975</v>
      </c>
      <c r="J5" s="49"/>
      <c r="K5" s="22" t="s">
        <v>27</v>
      </c>
      <c r="L5" s="21" t="s">
        <v>28</v>
      </c>
      <c r="M5" s="21" t="s">
        <v>28</v>
      </c>
      <c r="R5" s="14">
        <f>-D30</f>
        <v>-7250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18750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0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11" t="e">
        <f>IF(#REF!&gt;=0,"Total&lt;45K eligible for SRA","&gt;45K Not eligible for SRA")</f>
        <v>#REF!</v>
      </c>
      <c r="L14" s="212"/>
      <c r="M14" s="213"/>
      <c r="O14" s="31"/>
      <c r="P14" s="41"/>
      <c r="R14" s="14">
        <f>IF(R11&lt;R6,R11,R6)</f>
        <v>6500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4" t="e">
        <f>IF(#REF!&gt;=0,IF(#REF!&gt;=0,"SRA OK","SRA need to be adjusted"), "&gt;45K Not eligible for SRA")</f>
        <v>#REF!</v>
      </c>
      <c r="L15" s="215"/>
      <c r="M15" s="216"/>
      <c r="O15" s="44"/>
      <c r="P15" s="41"/>
      <c r="R15" s="14">
        <f t="shared" ref="R15:R38" si="1">R14-F6</f>
        <v>6500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si="1"/>
        <v>6500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6500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6500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6500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6500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6500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6500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6500</v>
      </c>
      <c r="S23" s="23">
        <v>40673</v>
      </c>
      <c r="U23" s="31"/>
      <c r="X23" s="31"/>
    </row>
    <row r="24" spans="1:25">
      <c r="A24" s="23">
        <v>40096</v>
      </c>
      <c r="B24" s="24">
        <v>311775.06</v>
      </c>
      <c r="C24" s="25">
        <v>20343.75</v>
      </c>
      <c r="D24" s="25">
        <v>6781.25</v>
      </c>
      <c r="E24" s="26">
        <f>6781.25+20343.75</f>
        <v>27125</v>
      </c>
      <c r="F24" s="27">
        <v>0</v>
      </c>
      <c r="G24" s="27">
        <v>8896.5</v>
      </c>
      <c r="H24" s="53"/>
      <c r="I24" s="53"/>
      <c r="J24" s="53"/>
      <c r="K24" s="209"/>
      <c r="L24" s="209"/>
      <c r="M24" s="209"/>
      <c r="R24" s="14">
        <f t="shared" si="1"/>
        <v>6500</v>
      </c>
      <c r="S24" s="23">
        <v>40688</v>
      </c>
      <c r="U24" s="31"/>
      <c r="X24" s="31"/>
    </row>
    <row r="25" spans="1:25">
      <c r="A25" s="23">
        <v>40111</v>
      </c>
      <c r="B25" s="24">
        <v>18975.009999999998</v>
      </c>
      <c r="C25" s="95">
        <f>(3750/2)*0.75</f>
        <v>1406.25</v>
      </c>
      <c r="D25" s="95">
        <f>(3750/2)*0.25</f>
        <v>468.75</v>
      </c>
      <c r="E25" s="96">
        <f t="shared" si="0"/>
        <v>1875</v>
      </c>
      <c r="F25" s="27">
        <v>0</v>
      </c>
      <c r="G25" s="27">
        <v>569.25</v>
      </c>
      <c r="H25" s="54"/>
      <c r="I25" s="55"/>
      <c r="J25" s="54"/>
      <c r="K25" s="209"/>
      <c r="L25" s="209"/>
      <c r="M25" s="209"/>
      <c r="R25" s="14">
        <f t="shared" si="1"/>
        <v>6500</v>
      </c>
      <c r="S25" s="23">
        <v>40704</v>
      </c>
      <c r="U25" s="31"/>
    </row>
    <row r="26" spans="1:25">
      <c r="A26" s="23">
        <v>40127</v>
      </c>
      <c r="B26" s="24">
        <v>18975.009999999998</v>
      </c>
      <c r="C26" s="95">
        <v>0</v>
      </c>
      <c r="D26" s="95">
        <v>0</v>
      </c>
      <c r="E26" s="96">
        <f t="shared" si="0"/>
        <v>0</v>
      </c>
      <c r="F26" s="27">
        <v>0</v>
      </c>
      <c r="G26" s="27">
        <v>569.25</v>
      </c>
      <c r="H26" s="50"/>
      <c r="I26" s="45"/>
      <c r="J26" s="45"/>
      <c r="R26" s="14">
        <f t="shared" si="1"/>
        <v>6500</v>
      </c>
      <c r="S26" s="23">
        <v>40719</v>
      </c>
      <c r="U26" s="31"/>
    </row>
    <row r="27" spans="1:25" ht="15" customHeight="1">
      <c r="A27" s="23">
        <v>40142</v>
      </c>
      <c r="B27" s="24">
        <v>18975.009999999998</v>
      </c>
      <c r="C27" s="95">
        <v>0</v>
      </c>
      <c r="D27" s="95">
        <v>0</v>
      </c>
      <c r="E27" s="96">
        <f t="shared" si="0"/>
        <v>0</v>
      </c>
      <c r="F27" s="27">
        <v>0</v>
      </c>
      <c r="G27" s="27">
        <v>569.25</v>
      </c>
      <c r="H27" s="56"/>
      <c r="I27" s="56"/>
      <c r="J27" s="56"/>
      <c r="R27" s="14">
        <f t="shared" si="1"/>
        <v>6500</v>
      </c>
      <c r="S27" s="23">
        <v>40369</v>
      </c>
      <c r="U27" s="31"/>
    </row>
    <row r="28" spans="1:25">
      <c r="A28" s="23">
        <v>40157</v>
      </c>
      <c r="B28" s="24">
        <v>18975.009999999998</v>
      </c>
      <c r="C28" s="95">
        <v>0</v>
      </c>
      <c r="D28" s="95">
        <v>0</v>
      </c>
      <c r="E28" s="96">
        <f t="shared" si="0"/>
        <v>0</v>
      </c>
      <c r="F28" s="27">
        <v>0</v>
      </c>
      <c r="G28" s="27">
        <v>569.25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6500</v>
      </c>
      <c r="S28" s="23">
        <v>40384</v>
      </c>
      <c r="U28" s="89"/>
    </row>
    <row r="29" spans="1:25" ht="13.5" thickBot="1">
      <c r="A29" s="23">
        <v>39441</v>
      </c>
      <c r="B29" s="24">
        <v>18975.009999999998</v>
      </c>
      <c r="C29" s="95">
        <v>0</v>
      </c>
      <c r="D29" s="109">
        <v>0</v>
      </c>
      <c r="E29" s="109">
        <f t="shared" si="0"/>
        <v>0</v>
      </c>
      <c r="F29" s="27">
        <v>0</v>
      </c>
      <c r="G29" s="27">
        <v>569.25</v>
      </c>
      <c r="H29" s="56"/>
      <c r="I29" s="56"/>
      <c r="J29" s="56"/>
      <c r="K29" s="57"/>
      <c r="L29" s="57"/>
      <c r="M29" s="57"/>
      <c r="N29" s="57"/>
      <c r="R29" s="14">
        <f t="shared" si="1"/>
        <v>6500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406650.11000000004</v>
      </c>
      <c r="C30" s="59">
        <f>SUM(C6:C29)</f>
        <v>21750</v>
      </c>
      <c r="D30" s="94">
        <f>SUM(D6:D29)</f>
        <v>7250</v>
      </c>
      <c r="E30" s="94">
        <f>C30+D30</f>
        <v>29000</v>
      </c>
      <c r="F30" s="59">
        <f>SUM(F6:F29)</f>
        <v>0</v>
      </c>
      <c r="G30" s="59">
        <f>SUM(G6:G29)</f>
        <v>11742.75</v>
      </c>
      <c r="H30" s="44"/>
      <c r="I30" s="132"/>
      <c r="J30" s="44"/>
      <c r="K30" s="57"/>
      <c r="L30" s="57"/>
      <c r="M30" s="57"/>
      <c r="N30" s="57"/>
      <c r="R30" s="14">
        <f t="shared" si="1"/>
        <v>6500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29000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6500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6500</v>
      </c>
      <c r="S32" s="23">
        <v>40081</v>
      </c>
      <c r="U32" s="89" t="s">
        <v>32</v>
      </c>
    </row>
    <row r="33" spans="2:19" ht="15">
      <c r="B33" s="137">
        <f>B30*0.075</f>
        <v>30498.758250000003</v>
      </c>
      <c r="C33" s="54"/>
      <c r="D33" s="137">
        <f>B30*0.025</f>
        <v>10166.252750000001</v>
      </c>
      <c r="E33" s="138"/>
      <c r="G33" s="36"/>
      <c r="H33" s="57"/>
      <c r="I33" s="57"/>
      <c r="J33" s="57"/>
      <c r="K33" s="57"/>
      <c r="L33" s="57"/>
      <c r="M33" s="57"/>
      <c r="N33" s="57"/>
      <c r="R33" s="14">
        <f t="shared" si="1"/>
        <v>6500</v>
      </c>
      <c r="S33" s="23">
        <v>40096</v>
      </c>
    </row>
    <row r="34" spans="2:19">
      <c r="B34" s="137">
        <f>B33-C30</f>
        <v>8748.7582500000026</v>
      </c>
      <c r="C34" s="54" t="s">
        <v>119</v>
      </c>
      <c r="D34" s="137">
        <f>D33-D30</f>
        <v>2916.2527500000015</v>
      </c>
      <c r="E34" s="137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6500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6500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6500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6500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9">
        <f t="shared" si="1"/>
        <v>6500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7">
    <tabColor rgb="FF7030A0"/>
  </sheetPr>
  <dimension ref="A1:WVS48"/>
  <sheetViews>
    <sheetView zoomScale="85" zoomScaleNormal="85" workbookViewId="0">
      <selection activeCell="L43" sqref="L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135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>
        <v>44424</v>
      </c>
    </row>
    <row r="2" spans="1:20">
      <c r="A2" s="1" t="s">
        <v>4</v>
      </c>
      <c r="B2" s="170">
        <v>10613445</v>
      </c>
      <c r="C2" s="128"/>
      <c r="D2" s="1"/>
      <c r="E2" s="6"/>
      <c r="H2" s="6"/>
      <c r="I2" s="3" t="s">
        <v>5</v>
      </c>
      <c r="J2" s="73">
        <v>24249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41868.720000000001</v>
      </c>
      <c r="K3" s="49"/>
      <c r="L3" s="14">
        <f>-SUM(C30+D30+E30+F30)</f>
        <v>-2442.3384999999998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4652.08</v>
      </c>
      <c r="K4" s="49"/>
      <c r="L4" s="19">
        <f>SUM(L2:L3)</f>
        <v>55557.661500000002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2326.04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2" si="1">B7*0.025</f>
        <v>0</v>
      </c>
      <c r="E7" s="26">
        <f t="shared" ref="E7:E29" si="2">B7*0.075</f>
        <v>0</v>
      </c>
      <c r="F7" s="25">
        <f t="shared" ref="F7:F22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55557.661500000002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62057.661500000002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1163.03</v>
      </c>
      <c r="C23" s="25">
        <f t="shared" si="0"/>
        <v>87.227249999999998</v>
      </c>
      <c r="D23" s="25">
        <v>0</v>
      </c>
      <c r="E23" s="26">
        <f t="shared" si="2"/>
        <v>87.227249999999998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f>3489.06+2326.04</f>
        <v>5815.1</v>
      </c>
      <c r="C24" s="25">
        <f>174.45+87.23</f>
        <v>261.68</v>
      </c>
      <c r="D24" s="25">
        <v>0</v>
      </c>
      <c r="E24" s="25">
        <f>174.45+87.23</f>
        <v>261.68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2326.04</v>
      </c>
      <c r="C25" s="25">
        <f>(B25*0.075)</f>
        <v>174.453</v>
      </c>
      <c r="D25" s="25">
        <v>0</v>
      </c>
      <c r="E25" s="26">
        <f>(B25*0.075)</f>
        <v>174.453</v>
      </c>
      <c r="F25" s="25"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71">
        <v>2326.04</v>
      </c>
      <c r="C26" s="167">
        <v>174.45</v>
      </c>
      <c r="D26" s="25">
        <v>0</v>
      </c>
      <c r="E26" s="167">
        <v>174.45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2326.04</v>
      </c>
      <c r="C27" s="25">
        <f t="shared" si="0"/>
        <v>174.453</v>
      </c>
      <c r="D27" s="25">
        <v>0</v>
      </c>
      <c r="E27" s="26">
        <f t="shared" si="2"/>
        <v>174.453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2326.04</v>
      </c>
      <c r="C28" s="25">
        <f t="shared" si="0"/>
        <v>174.453</v>
      </c>
      <c r="D28" s="25">
        <v>0</v>
      </c>
      <c r="E28" s="26">
        <f t="shared" si="2"/>
        <v>174.453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2326.04</v>
      </c>
      <c r="C29" s="25">
        <f t="shared" si="0"/>
        <v>174.453</v>
      </c>
      <c r="D29" s="126">
        <v>0</v>
      </c>
      <c r="E29" s="97">
        <f t="shared" si="2"/>
        <v>174.453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18608.330000000002</v>
      </c>
      <c r="C30" s="59">
        <f t="shared" si="5"/>
        <v>1221.1692499999999</v>
      </c>
      <c r="D30" s="94">
        <f t="shared" si="5"/>
        <v>0</v>
      </c>
      <c r="E30" s="94">
        <f t="shared" si="5"/>
        <v>1221.1692499999999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1395.6247500000002</v>
      </c>
      <c r="D31" s="160">
        <v>0</v>
      </c>
      <c r="E31" s="64">
        <f>C31</f>
        <v>1395.6247500000002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169">
        <f>C30-C31</f>
        <v>-174.45550000000026</v>
      </c>
      <c r="D32" s="31">
        <f>D30-D31</f>
        <v>0</v>
      </c>
      <c r="E32" s="169">
        <f>E30-E31</f>
        <v>-174.45550000000026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>
        <f>1163.03+5815.1+2326.04+2326.04</f>
        <v>11630.21</v>
      </c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28"/>
  <dimension ref="A1:WVS48"/>
  <sheetViews>
    <sheetView zoomScale="85" zoomScaleNormal="85" workbookViewId="0">
      <selection activeCell="E43" sqref="E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133</v>
      </c>
      <c r="C1" s="127"/>
      <c r="D1" s="1" t="s">
        <v>1</v>
      </c>
      <c r="E1" s="2">
        <v>12</v>
      </c>
      <c r="F1" s="16"/>
      <c r="G1" s="16"/>
      <c r="H1" s="2"/>
      <c r="I1" s="3" t="s">
        <v>2</v>
      </c>
      <c r="J1" s="73"/>
    </row>
    <row r="2" spans="1:20" ht="14.25">
      <c r="A2" s="1" t="s">
        <v>4</v>
      </c>
      <c r="B2" s="186">
        <v>10591678</v>
      </c>
      <c r="C2" s="128"/>
      <c r="D2" s="1" t="s">
        <v>94</v>
      </c>
      <c r="E2" s="6"/>
      <c r="H2" s="6"/>
      <c r="I2" s="3" t="s">
        <v>5</v>
      </c>
      <c r="J2" s="73"/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83500</v>
      </c>
      <c r="K3" s="49"/>
      <c r="L3" s="14">
        <f>-SUM(C30+D30+E30+F30)</f>
        <v>-2348.45775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6958.333333333333</v>
      </c>
      <c r="K4" s="49"/>
      <c r="L4" s="19">
        <f>SUM(L2:L3)</f>
        <v>55651.542249999999</v>
      </c>
      <c r="M4" s="20" t="s">
        <v>44</v>
      </c>
      <c r="N4" s="20"/>
      <c r="O4" s="14">
        <v>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3479.1666666666665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v>0</v>
      </c>
      <c r="E6" s="26">
        <f>B6*0.075</f>
        <v>0</v>
      </c>
      <c r="F6" s="25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19500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v>0</v>
      </c>
      <c r="E7" s="26">
        <f t="shared" ref="E7:E22" si="1">B7*0.075</f>
        <v>0</v>
      </c>
      <c r="F7" s="25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v>0</v>
      </c>
      <c r="E8" s="26">
        <f t="shared" si="1"/>
        <v>0</v>
      </c>
      <c r="F8" s="25">
        <v>0</v>
      </c>
      <c r="G8" s="27">
        <v>0</v>
      </c>
      <c r="H8" s="27">
        <v>0</v>
      </c>
      <c r="J8" s="16"/>
      <c r="K8" s="28"/>
      <c r="L8" s="31"/>
      <c r="O8" s="33">
        <f>L4</f>
        <v>55651.542249999999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v>0</v>
      </c>
      <c r="E9" s="26">
        <f t="shared" si="1"/>
        <v>0</v>
      </c>
      <c r="F9" s="25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v>0</v>
      </c>
      <c r="E10" s="26">
        <f t="shared" si="1"/>
        <v>0</v>
      </c>
      <c r="F10" s="25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v>0</v>
      </c>
      <c r="E11" s="26">
        <f t="shared" si="1"/>
        <v>0</v>
      </c>
      <c r="F11" s="25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55651.542249999999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v>0</v>
      </c>
      <c r="E12" s="26">
        <f t="shared" si="1"/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v>0</v>
      </c>
      <c r="E13" s="26">
        <f t="shared" si="1"/>
        <v>0</v>
      </c>
      <c r="F13" s="25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v>0</v>
      </c>
      <c r="E14" s="26">
        <f t="shared" si="1"/>
        <v>0</v>
      </c>
      <c r="F14" s="25">
        <v>0</v>
      </c>
      <c r="G14" s="27">
        <v>0</v>
      </c>
      <c r="H14" s="27">
        <v>0</v>
      </c>
      <c r="L14" s="31"/>
      <c r="M14" s="41"/>
      <c r="O14" s="14">
        <f>IF(O11&lt;O6,O11,O6)</f>
        <v>19500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v>0</v>
      </c>
      <c r="E15" s="26">
        <f t="shared" si="1"/>
        <v>0</v>
      </c>
      <c r="F15" s="25">
        <v>0</v>
      </c>
      <c r="G15" s="27">
        <v>0</v>
      </c>
      <c r="H15" s="27">
        <v>0</v>
      </c>
      <c r="L15" s="44"/>
      <c r="M15" s="41"/>
      <c r="O15" s="14">
        <f t="shared" ref="O15:O38" si="2">O14-G6</f>
        <v>19500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v>0</v>
      </c>
      <c r="E16" s="26">
        <f t="shared" si="1"/>
        <v>0</v>
      </c>
      <c r="F16" s="25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19500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v>0</v>
      </c>
      <c r="E17" s="26">
        <f t="shared" si="1"/>
        <v>0</v>
      </c>
      <c r="F17" s="25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19500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v>0</v>
      </c>
      <c r="E18" s="26">
        <f t="shared" si="1"/>
        <v>0</v>
      </c>
      <c r="F18" s="25">
        <v>0</v>
      </c>
      <c r="G18" s="27">
        <v>0</v>
      </c>
      <c r="H18" s="27">
        <v>0</v>
      </c>
      <c r="O18" s="14">
        <f t="shared" si="2"/>
        <v>19500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v>0</v>
      </c>
      <c r="E19" s="26">
        <f t="shared" si="1"/>
        <v>0</v>
      </c>
      <c r="F19" s="25">
        <v>0</v>
      </c>
      <c r="G19" s="27">
        <v>0</v>
      </c>
      <c r="H19" s="27">
        <v>0</v>
      </c>
      <c r="O19" s="14">
        <f t="shared" si="2"/>
        <v>19500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v>0</v>
      </c>
      <c r="E20" s="26">
        <f t="shared" si="1"/>
        <v>0</v>
      </c>
      <c r="F20" s="25">
        <v>0</v>
      </c>
      <c r="G20" s="27">
        <v>0</v>
      </c>
      <c r="H20" s="27">
        <v>0</v>
      </c>
      <c r="I20" s="50"/>
      <c r="J20" s="3"/>
      <c r="K20" s="45"/>
      <c r="O20" s="14">
        <f t="shared" si="2"/>
        <v>19500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v>0</v>
      </c>
      <c r="E21" s="26">
        <f t="shared" si="1"/>
        <v>0</v>
      </c>
      <c r="F21" s="25">
        <v>0</v>
      </c>
      <c r="G21" s="27">
        <v>0</v>
      </c>
      <c r="H21" s="27">
        <v>0</v>
      </c>
      <c r="I21" s="50"/>
      <c r="J21" s="111" t="s">
        <v>143</v>
      </c>
      <c r="K21" s="45"/>
      <c r="O21" s="14">
        <f t="shared" si="2"/>
        <v>19500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v>0</v>
      </c>
      <c r="E22" s="26">
        <f t="shared" si="1"/>
        <v>0</v>
      </c>
      <c r="F22" s="25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19500</v>
      </c>
      <c r="P22" s="23">
        <v>40658</v>
      </c>
      <c r="U22" s="31"/>
    </row>
    <row r="23" spans="1:22">
      <c r="A23" s="23">
        <v>40081</v>
      </c>
      <c r="B23" s="98">
        <v>3479.17</v>
      </c>
      <c r="C23" s="25">
        <v>0</v>
      </c>
      <c r="D23" s="25">
        <v>0</v>
      </c>
      <c r="E23" s="31">
        <v>0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19500</v>
      </c>
      <c r="P23" s="23">
        <v>40673</v>
      </c>
      <c r="R23" s="31"/>
      <c r="U23" s="31"/>
    </row>
    <row r="24" spans="1:22">
      <c r="A24" s="23">
        <v>40096</v>
      </c>
      <c r="B24" s="98">
        <v>3479.17</v>
      </c>
      <c r="C24" s="25">
        <v>260.94</v>
      </c>
      <c r="D24" s="25">
        <v>0</v>
      </c>
      <c r="E24" s="26">
        <f>B25*0.075</f>
        <v>260.93774999999999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19500</v>
      </c>
      <c r="P24" s="23">
        <v>40688</v>
      </c>
      <c r="R24" s="31"/>
      <c r="U24" s="31"/>
    </row>
    <row r="25" spans="1:22">
      <c r="A25" s="23">
        <v>40111</v>
      </c>
      <c r="B25" s="98">
        <v>3479.17</v>
      </c>
      <c r="C25" s="25">
        <v>782.82</v>
      </c>
      <c r="D25" s="25">
        <v>0</v>
      </c>
      <c r="E25" s="26">
        <v>782.82</v>
      </c>
      <c r="F25" s="25">
        <v>0</v>
      </c>
      <c r="G25" s="27">
        <v>0</v>
      </c>
      <c r="H25" s="27">
        <v>0</v>
      </c>
      <c r="I25" s="3" t="s">
        <v>144</v>
      </c>
      <c r="J25" s="55"/>
      <c r="K25" s="54"/>
      <c r="O25" s="14">
        <f t="shared" si="2"/>
        <v>19500</v>
      </c>
      <c r="P25" s="23">
        <v>40704</v>
      </c>
      <c r="R25" s="31"/>
    </row>
    <row r="26" spans="1:22">
      <c r="A26" s="23">
        <v>40127</v>
      </c>
      <c r="B26" s="98">
        <f>J5</f>
        <v>3479.1666666666665</v>
      </c>
      <c r="C26" s="25">
        <v>130.47</v>
      </c>
      <c r="D26" s="25">
        <v>0</v>
      </c>
      <c r="E26" s="26">
        <v>130.47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19500</v>
      </c>
      <c r="P26" s="23">
        <v>40719</v>
      </c>
      <c r="R26" s="31"/>
    </row>
    <row r="27" spans="1:22" ht="15" customHeight="1">
      <c r="A27" s="23">
        <v>40142</v>
      </c>
      <c r="B27" s="98">
        <v>0</v>
      </c>
      <c r="C27" s="98">
        <f>K5</f>
        <v>0</v>
      </c>
      <c r="D27" s="98">
        <f>L5</f>
        <v>0</v>
      </c>
      <c r="E27" s="98">
        <f>M5</f>
        <v>0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19500</v>
      </c>
      <c r="P27" s="23">
        <v>40369</v>
      </c>
      <c r="R27" s="31"/>
    </row>
    <row r="28" spans="1:22">
      <c r="A28" s="23">
        <v>40157</v>
      </c>
      <c r="B28" s="98">
        <v>0</v>
      </c>
      <c r="C28" s="25">
        <f t="shared" si="0"/>
        <v>0</v>
      </c>
      <c r="D28" s="25">
        <v>0</v>
      </c>
      <c r="E28" s="26">
        <f>B28*0.075</f>
        <v>0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19500</v>
      </c>
      <c r="P28" s="23">
        <v>40384</v>
      </c>
      <c r="R28" s="89"/>
    </row>
    <row r="29" spans="1:22" ht="13.5" thickBot="1">
      <c r="A29" s="23">
        <v>39441</v>
      </c>
      <c r="B29" s="98">
        <v>0</v>
      </c>
      <c r="C29" s="25">
        <f t="shared" si="0"/>
        <v>0</v>
      </c>
      <c r="D29" s="126">
        <v>0</v>
      </c>
      <c r="E29" s="97">
        <f>B29*0.075</f>
        <v>0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19500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13916.676666666666</v>
      </c>
      <c r="C30" s="59">
        <f t="shared" si="3"/>
        <v>1174.23</v>
      </c>
      <c r="D30" s="94">
        <f t="shared" si="3"/>
        <v>0</v>
      </c>
      <c r="E30" s="94">
        <f t="shared" si="3"/>
        <v>1174.22775</v>
      </c>
      <c r="F30" s="94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19500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1043.7507499999999</v>
      </c>
      <c r="D31" s="160">
        <v>0</v>
      </c>
      <c r="E31" s="64">
        <f>C31</f>
        <v>1043.7507499999999</v>
      </c>
      <c r="F31" s="64">
        <v>0</v>
      </c>
      <c r="G31" s="65"/>
      <c r="H31" s="65"/>
      <c r="I31" s="44"/>
      <c r="J31" s="132"/>
      <c r="K31" s="44"/>
      <c r="O31" s="14">
        <f t="shared" si="2"/>
        <v>19500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130.47925000000009</v>
      </c>
      <c r="D32" s="31">
        <f>D30-D31</f>
        <v>0</v>
      </c>
      <c r="E32" s="31">
        <f>E30-E31</f>
        <v>130.47700000000009</v>
      </c>
      <c r="F32" s="31">
        <f>F30-F31</f>
        <v>0</v>
      </c>
      <c r="G32" s="45"/>
      <c r="H32" s="45"/>
      <c r="I32" s="57"/>
      <c r="J32" s="57"/>
      <c r="K32" s="57"/>
      <c r="O32" s="14">
        <f t="shared" si="2"/>
        <v>19500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19500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3">
        <f>1174.23-1043.75</f>
        <v>130.48000000000002</v>
      </c>
      <c r="K34" s="57"/>
      <c r="O34" s="14">
        <f t="shared" si="2"/>
        <v>19500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19500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19500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19500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19500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Bandyopadhyay 11.25 &amp; 12.10.</vt:lpstr>
      <vt:lpstr>Bender 11.25.</vt:lpstr>
      <vt:lpstr>Bose, Susmita 11.25.1</vt:lpstr>
      <vt:lpstr>Ding, Jow 11.25.</vt:lpstr>
      <vt:lpstr>Eilers - 11.10 Double check</vt:lpstr>
      <vt:lpstr>Eilers - full yr</vt:lpstr>
      <vt:lpstr>Etheridge</vt:lpstr>
      <vt:lpstr>Flores1</vt:lpstr>
      <vt:lpstr>Franklin (SK)</vt:lpstr>
      <vt:lpstr>He 10.25</vt:lpstr>
      <vt:lpstr>Jordan, Michael</vt:lpstr>
      <vt:lpstr>Jordan, Michalel2</vt:lpstr>
      <vt:lpstr>Manoranjan, V. 11.25.</vt:lpstr>
      <vt:lpstr>Max of Salary ex.</vt:lpstr>
      <vt:lpstr>Max of Salary ex.  (2)</vt:lpstr>
      <vt:lpstr>Max of Salary ex. 2</vt:lpstr>
      <vt:lpstr>Max of Salary ex. 2.</vt:lpstr>
      <vt:lpstr>McClusky 11.25.</vt:lpstr>
      <vt:lpstr>McDonald (2)</vt:lpstr>
      <vt:lpstr>Netzhammer</vt:lpstr>
      <vt:lpstr>Other Green</vt:lpstr>
      <vt:lpstr>Sanders 12.10 (SK)</vt:lpstr>
      <vt:lpstr>Schulz, N</vt:lpstr>
      <vt:lpstr>Smith, Lloyd 11.25.</vt:lpstr>
      <vt:lpstr>Thomas</vt:lpstr>
      <vt:lpstr>Wilkins-Fontenor 11.25.1</vt:lpstr>
      <vt:lpstr>Will not get 1.5% on 2020</vt:lpstr>
      <vt:lpstr>35 to 49 Calc for WSURP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Ann</dc:creator>
  <cp:lastModifiedBy>Monroe, Ann</cp:lastModifiedBy>
  <cp:lastPrinted>2021-12-13T19:34:39Z</cp:lastPrinted>
  <dcterms:created xsi:type="dcterms:W3CDTF">2014-12-01T15:10:32Z</dcterms:created>
  <dcterms:modified xsi:type="dcterms:W3CDTF">2024-12-23T21:50:43Z</dcterms:modified>
</cp:coreProperties>
</file>